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090" activeTab="1"/>
  </bookViews>
  <sheets>
    <sheet name="VREG" sheetId="2" r:id="rId1"/>
    <sheet name="CWAPE" sheetId="1" r:id="rId2"/>
  </sheets>
  <definedNames>
    <definedName name="LHV_fuel">CWAPE!$I$116:$I$117</definedName>
    <definedName name="_xlnm.Print_Area" localSheetId="1">CWAPE!$A$1:$F$134</definedName>
    <definedName name="_xlnm.Print_Area" localSheetId="0">VREG!$A$1:$D$98</definedName>
    <definedName name="train">CWAPE!$I$29:$I$31</definedName>
  </definedNames>
  <calcPr calcId="125725"/>
</workbook>
</file>

<file path=xl/calcChain.xml><?xml version="1.0" encoding="utf-8"?>
<calcChain xmlns="http://schemas.openxmlformats.org/spreadsheetml/2006/main">
  <c r="I54" i="1"/>
  <c r="K54"/>
  <c r="E95"/>
  <c r="E87"/>
  <c r="E28"/>
  <c r="C28" i="2"/>
  <c r="E111" i="1"/>
  <c r="E113"/>
  <c r="E98"/>
  <c r="E100" s="1"/>
  <c r="E64"/>
  <c r="E58"/>
  <c r="E52"/>
  <c r="C45" i="2" s="1"/>
  <c r="I51" i="1"/>
  <c r="C4" i="2"/>
  <c r="C1"/>
  <c r="J50" i="1"/>
  <c r="I50"/>
  <c r="I49"/>
  <c r="C23" i="2"/>
  <c r="C22"/>
  <c r="C21"/>
  <c r="E38" i="1"/>
  <c r="E40" s="1"/>
  <c r="E117"/>
  <c r="C71" i="2"/>
  <c r="C56"/>
  <c r="C73"/>
  <c r="C72"/>
  <c r="C11"/>
  <c r="A4"/>
  <c r="A1"/>
  <c r="E24" i="1"/>
  <c r="E26" s="1"/>
  <c r="E31"/>
  <c r="E33" s="1"/>
  <c r="E16"/>
  <c r="E15"/>
  <c r="E17" s="1"/>
  <c r="E12"/>
  <c r="E14"/>
  <c r="E67" s="1"/>
  <c r="E69" s="1"/>
  <c r="E88"/>
  <c r="E91"/>
  <c r="E93" s="1"/>
  <c r="E82"/>
  <c r="E83" s="1"/>
  <c r="E84" s="1"/>
  <c r="E80"/>
  <c r="E74"/>
  <c r="E75" s="1"/>
  <c r="E121"/>
  <c r="E123" s="1"/>
  <c r="E104"/>
  <c r="E106" s="1"/>
  <c r="E60"/>
  <c r="E54"/>
  <c r="E48"/>
  <c r="E66"/>
  <c r="C13" i="2"/>
  <c r="C14" s="1"/>
  <c r="C16"/>
  <c r="C17"/>
  <c r="C18"/>
  <c r="C27"/>
  <c r="C29" s="1"/>
  <c r="C59"/>
  <c r="C60" s="1"/>
  <c r="C58"/>
  <c r="C49"/>
  <c r="C62"/>
  <c r="C64"/>
  <c r="C63"/>
  <c r="C81"/>
  <c r="C82" s="1"/>
  <c r="C53"/>
  <c r="C51"/>
  <c r="D51"/>
  <c r="C52"/>
  <c r="D52"/>
  <c r="D53"/>
  <c r="B53"/>
  <c r="B52"/>
  <c r="B51"/>
  <c r="D82"/>
  <c r="D77"/>
  <c r="D78"/>
  <c r="D79"/>
  <c r="D80"/>
  <c r="D81"/>
  <c r="D65"/>
  <c r="F131" i="1"/>
  <c r="D95" i="2"/>
  <c r="B48"/>
  <c r="C48"/>
  <c r="D48"/>
  <c r="C47"/>
  <c r="D47"/>
  <c r="B47"/>
  <c r="B44"/>
  <c r="C44"/>
  <c r="D44"/>
  <c r="C43"/>
  <c r="D43"/>
  <c r="B43"/>
  <c r="E21" i="1"/>
  <c r="C12" i="2" s="1"/>
  <c r="C67"/>
  <c r="C68"/>
  <c r="C41"/>
  <c r="B24"/>
  <c r="B67"/>
  <c r="B68"/>
  <c r="B71"/>
  <c r="B72"/>
  <c r="B73"/>
  <c r="B77"/>
  <c r="B78"/>
  <c r="B79"/>
  <c r="B80"/>
  <c r="B81"/>
  <c r="D56"/>
  <c r="D57"/>
  <c r="D58"/>
  <c r="D59"/>
  <c r="D67"/>
  <c r="D68"/>
  <c r="D71"/>
  <c r="D72"/>
  <c r="D73"/>
  <c r="B82"/>
  <c r="C80"/>
  <c r="C79"/>
  <c r="C78"/>
  <c r="C77"/>
  <c r="B74"/>
  <c r="D69"/>
  <c r="B69"/>
  <c r="B65"/>
  <c r="D64"/>
  <c r="B64"/>
  <c r="D63"/>
  <c r="B63"/>
  <c r="D62"/>
  <c r="B62"/>
  <c r="D60"/>
  <c r="B60"/>
  <c r="B59"/>
  <c r="B58"/>
  <c r="C57"/>
  <c r="B57"/>
  <c r="B56"/>
  <c r="D49"/>
  <c r="B49"/>
  <c r="D45"/>
  <c r="B45"/>
  <c r="D41"/>
  <c r="B41"/>
  <c r="B36"/>
  <c r="B35"/>
  <c r="B34"/>
  <c r="D24"/>
  <c r="D23"/>
  <c r="B23"/>
  <c r="D22"/>
  <c r="B22"/>
  <c r="D21"/>
  <c r="B21"/>
  <c r="D19"/>
  <c r="B19"/>
  <c r="D18"/>
  <c r="B18"/>
  <c r="D17"/>
  <c r="B17"/>
  <c r="D16"/>
  <c r="B16"/>
  <c r="D14"/>
  <c r="B14"/>
  <c r="D13"/>
  <c r="B13"/>
  <c r="D12"/>
  <c r="B12"/>
  <c r="D11"/>
  <c r="B11"/>
  <c r="D10"/>
  <c r="C10"/>
  <c r="B10"/>
  <c r="C34"/>
  <c r="C24" l="1"/>
  <c r="C19"/>
  <c r="C74"/>
  <c r="C65"/>
  <c r="C69"/>
  <c r="E88" s="1"/>
  <c r="E72" i="1"/>
  <c r="E70"/>
  <c r="E42"/>
  <c r="E76"/>
  <c r="C35" i="2"/>
  <c r="E43" i="1"/>
  <c r="C36" i="2" s="1"/>
  <c r="E78" i="1"/>
  <c r="C32" i="2" l="1"/>
  <c r="C38" s="1"/>
  <c r="C88"/>
  <c r="E44" i="1"/>
  <c r="H125" s="1"/>
  <c r="E127" s="1"/>
  <c r="E128" s="1"/>
  <c r="E125" l="1"/>
  <c r="C85" i="2"/>
  <c r="C91" s="1"/>
  <c r="E85"/>
</calcChain>
</file>

<file path=xl/sharedStrings.xml><?xml version="1.0" encoding="utf-8"?>
<sst xmlns="http://schemas.openxmlformats.org/spreadsheetml/2006/main" count="440" uniqueCount="245">
  <si>
    <t>BIOMASS VERIFICATION PROCEDURE</t>
  </si>
  <si>
    <t>Energy and Carbon Balance Form</t>
  </si>
  <si>
    <t>ECBF</t>
  </si>
  <si>
    <r>
      <t xml:space="preserve">Protected by </t>
    </r>
    <r>
      <rPr>
        <i/>
        <sz val="11"/>
        <rFont val="Symbol"/>
        <family val="1"/>
        <charset val="2"/>
      </rPr>
      <t>Ó</t>
    </r>
    <r>
      <rPr>
        <i/>
        <sz val="11"/>
        <rFont val="Arial"/>
        <family val="2"/>
      </rPr>
      <t xml:space="preserve"> copyright</t>
    </r>
  </si>
  <si>
    <t>RAW MATERIAL TRANSPORT</t>
  </si>
  <si>
    <t>Road transport by diesel trucks</t>
  </si>
  <si>
    <t>K</t>
  </si>
  <si>
    <t>km</t>
  </si>
  <si>
    <t>H</t>
  </si>
  <si>
    <t>MJ/litre, heating value fossil fuel</t>
  </si>
  <si>
    <t>L</t>
  </si>
  <si>
    <t>Q</t>
  </si>
  <si>
    <t>tons of raw material per truck</t>
  </si>
  <si>
    <t>OR</t>
  </si>
  <si>
    <t>occupancy rate</t>
  </si>
  <si>
    <t>RRT</t>
  </si>
  <si>
    <t>kWhp/ton raw material</t>
  </si>
  <si>
    <t>EF</t>
  </si>
  <si>
    <t>kg CO2 / KWhp (emission factor diesel)</t>
  </si>
  <si>
    <t>CRRT</t>
  </si>
  <si>
    <t>kg CO2/ton raw material</t>
  </si>
  <si>
    <t>Diesel trains</t>
  </si>
  <si>
    <t>LTKM</t>
  </si>
  <si>
    <t>litre/ton.km</t>
  </si>
  <si>
    <t>RDT</t>
  </si>
  <si>
    <t>CRDT</t>
  </si>
  <si>
    <t>River flatboats</t>
  </si>
  <si>
    <t>RRB</t>
  </si>
  <si>
    <t>CRRB</t>
  </si>
  <si>
    <t>SUBTOTAL AND CONVERSION RATE</t>
  </si>
  <si>
    <t>CRT</t>
  </si>
  <si>
    <t>Conversion rate (ton finished product / ton raw material)</t>
  </si>
  <si>
    <t>CR</t>
  </si>
  <si>
    <t>ton/ton</t>
  </si>
  <si>
    <t>CRT'</t>
  </si>
  <si>
    <t>kg CO2/ton pellet</t>
  </si>
  <si>
    <t>PRODUCTION</t>
  </si>
  <si>
    <r>
      <t xml:space="preserve">Average </t>
    </r>
    <r>
      <rPr>
        <b/>
        <sz val="12"/>
        <rFont val="Times New Roman"/>
        <family val="1"/>
      </rPr>
      <t>electricity</t>
    </r>
    <r>
      <rPr>
        <sz val="12"/>
        <rFont val="Times New Roman"/>
        <family val="1"/>
      </rPr>
      <t xml:space="preserve"> consumption needed for making the biomass (whatever the origin of the elctricity)</t>
    </r>
  </si>
  <si>
    <t>E</t>
  </si>
  <si>
    <t>kWhe/ton pellet</t>
  </si>
  <si>
    <t>kg CO2 / KWhe  (reference for electricity)</t>
  </si>
  <si>
    <t>CE</t>
  </si>
  <si>
    <r>
      <t xml:space="preserve">Average </t>
    </r>
    <r>
      <rPr>
        <b/>
        <sz val="12"/>
        <rFont val="Times New Roman"/>
        <family val="1"/>
      </rPr>
      <t>primary fossil energy</t>
    </r>
    <r>
      <rPr>
        <sz val="12"/>
        <rFont val="Times New Roman"/>
        <family val="1"/>
      </rPr>
      <t xml:space="preserve"> used for making the final biomass product (thus excluding biomass &amp; renewable sources)</t>
    </r>
  </si>
  <si>
    <t>F1</t>
  </si>
  <si>
    <t>kWhp/ton pellet</t>
  </si>
  <si>
    <t>kg CO2 / KWhp (emission factor fuel 1)</t>
  </si>
  <si>
    <t>diesel oil</t>
  </si>
  <si>
    <t>CF1</t>
  </si>
  <si>
    <t>kg CO2 / KWhp (emission factor fuel 2)</t>
  </si>
  <si>
    <t>CF2</t>
  </si>
  <si>
    <t>dryer efficiency</t>
  </si>
  <si>
    <t>km radius</t>
  </si>
  <si>
    <t>simple boiler efficiency</t>
  </si>
  <si>
    <t>if energy carrier is steam</t>
  </si>
  <si>
    <t>initial moisture raw material (dry basis)</t>
  </si>
  <si>
    <t>if energy carrier is hot water</t>
  </si>
  <si>
    <t>final moisture pellets (dry basis)</t>
  </si>
  <si>
    <t>if energy carrier is boiler exhaust gases</t>
  </si>
  <si>
    <t>kWh /ton pellet (enthalpy moisture evaporation)</t>
  </si>
  <si>
    <t>DE</t>
  </si>
  <si>
    <t>CHP efficiency</t>
  </si>
  <si>
    <t>use actual value</t>
  </si>
  <si>
    <t>D</t>
  </si>
  <si>
    <t>kWh steam /ton pellet</t>
  </si>
  <si>
    <t>BE</t>
  </si>
  <si>
    <t>emission factor wood</t>
  </si>
  <si>
    <t>kg CO2 / KWhp</t>
  </si>
  <si>
    <t>harvesting + chipping/milling</t>
  </si>
  <si>
    <t>B</t>
  </si>
  <si>
    <t>kWh p /ton pellet</t>
  </si>
  <si>
    <t>drying (if applicable)</t>
  </si>
  <si>
    <t>EF1</t>
  </si>
  <si>
    <t>transport &lt; 100 km, return empty</t>
  </si>
  <si>
    <t>EF2</t>
  </si>
  <si>
    <t>transport &lt; 200 km, return loaded</t>
  </si>
  <si>
    <t>EFT</t>
  </si>
  <si>
    <t>kg CO2 / KWhp (total EF1-EF2)</t>
  </si>
  <si>
    <t>transport &lt; 200 km, return empty</t>
  </si>
  <si>
    <t>CB</t>
  </si>
  <si>
    <t>FINISHED PRODUCT : INLAND TRANSPORT</t>
  </si>
  <si>
    <t>tons of biomass per truck</t>
  </si>
  <si>
    <t>PRT</t>
  </si>
  <si>
    <t>CPRT</t>
  </si>
  <si>
    <t>PDT</t>
  </si>
  <si>
    <t>CPDT</t>
  </si>
  <si>
    <t>Electric trains</t>
  </si>
  <si>
    <t>KTKM</t>
  </si>
  <si>
    <t>kWhe/tonkm</t>
  </si>
  <si>
    <t>PET</t>
  </si>
  <si>
    <t>CPET</t>
  </si>
  <si>
    <t>PRB</t>
  </si>
  <si>
    <t>CPRB</t>
  </si>
  <si>
    <t>INTERNATIONAL SEA/RIVER TRANSPORT</t>
  </si>
  <si>
    <t>Sea/river vessels</t>
  </si>
  <si>
    <t>S</t>
  </si>
  <si>
    <t>number of sea miles</t>
  </si>
  <si>
    <t>MJ/ton, heating value fuel</t>
  </si>
  <si>
    <t>ton of fuel per day</t>
  </si>
  <si>
    <t>PI</t>
  </si>
  <si>
    <t>kg CO2 / KWhp (em. fact. LFO-MFO-HFO)</t>
  </si>
  <si>
    <t>CPI</t>
  </si>
  <si>
    <t>TOTAL</t>
  </si>
  <si>
    <t>Grand total</t>
  </si>
  <si>
    <t>TC</t>
  </si>
  <si>
    <t>LHV pellets</t>
  </si>
  <si>
    <t>LHV</t>
  </si>
  <si>
    <t>MJ / ton pellet</t>
  </si>
  <si>
    <t>Emission factor for pellet supply chain</t>
  </si>
  <si>
    <t>EFP</t>
  </si>
  <si>
    <t>kg CO2/MWhp</t>
  </si>
  <si>
    <t>Date and place</t>
  </si>
  <si>
    <t>Name of the reviewer</t>
  </si>
  <si>
    <t>I certify that the data gathered in this document has been checked and validated</t>
  </si>
  <si>
    <r>
      <t xml:space="preserve">Signature and stamp </t>
    </r>
    <r>
      <rPr>
        <b/>
        <i/>
        <sz val="12"/>
        <rFont val="Times New Roman"/>
        <family val="1"/>
      </rPr>
      <t>SGS Belgium</t>
    </r>
  </si>
  <si>
    <t xml:space="preserve">  = (K x L x H) / (100 x 3,6 x Q) </t>
  </si>
  <si>
    <t>RT</t>
  </si>
  <si>
    <t xml:space="preserve">   initial moisture (dry basis)</t>
  </si>
  <si>
    <t xml:space="preserve">   final moisture (dry basis)</t>
  </si>
  <si>
    <t xml:space="preserve"> = (1+FM) / (1+IM)</t>
  </si>
  <si>
    <r>
      <t xml:space="preserve">Sum energy consumption for raw material transportation </t>
    </r>
    <r>
      <rPr>
        <b/>
        <sz val="12"/>
        <rFont val="Times New Roman"/>
        <family val="1"/>
      </rPr>
      <t>(kWh/ton finished product)</t>
    </r>
  </si>
  <si>
    <t>RT'</t>
  </si>
  <si>
    <t xml:space="preserve"> = RT / CR</t>
  </si>
  <si>
    <t xml:space="preserve">  = (D x L x H) / (3,6 x Q) </t>
  </si>
  <si>
    <t>Total fossil primary energy</t>
  </si>
  <si>
    <t>TFP</t>
  </si>
  <si>
    <t xml:space="preserve"> = RT' + F1 + F2 + PRT + PDT + PRB + PI</t>
  </si>
  <si>
    <t>Total electricity</t>
  </si>
  <si>
    <t>TE</t>
  </si>
  <si>
    <t xml:space="preserve"> = E + PET</t>
  </si>
  <si>
    <t xml:space="preserve"> = TE + (TFP x 0.55)</t>
  </si>
  <si>
    <t>propane</t>
  </si>
  <si>
    <r>
      <t xml:space="preserve">Average </t>
    </r>
    <r>
      <rPr>
        <b/>
        <sz val="12"/>
        <rFont val="Times New Roman"/>
        <family val="1"/>
      </rPr>
      <t>electricity</t>
    </r>
    <r>
      <rPr>
        <sz val="12"/>
        <rFont val="Times New Roman"/>
        <family val="1"/>
      </rPr>
      <t xml:space="preserve"> consumption needed for making the biomass (whatever the origin of the electricity)</t>
    </r>
  </si>
  <si>
    <r>
      <t xml:space="preserve">Average </t>
    </r>
    <r>
      <rPr>
        <b/>
        <sz val="12"/>
        <rFont val="Times New Roman"/>
        <family val="1"/>
      </rPr>
      <t>heat obtained from biomass CHP</t>
    </r>
    <r>
      <rPr>
        <sz val="12"/>
        <rFont val="Times New Roman"/>
        <family val="1"/>
      </rPr>
      <t xml:space="preserve"> needed for drying the biomass</t>
    </r>
  </si>
  <si>
    <t>Nature of raw material</t>
  </si>
  <si>
    <t>kg CO2 / KWhp (wood transport, including return empty)</t>
  </si>
  <si>
    <t>biomass boiler</t>
  </si>
  <si>
    <t>CHP total efficiency</t>
  </si>
  <si>
    <t>http://lipasto.vtt.fi/yksikkopaastot/tavaraliikennee/raideliikennee/junat_tavarae.htm</t>
  </si>
  <si>
    <t>l/tkm</t>
  </si>
  <si>
    <t>0.03 kWhe/ton.km</t>
  </si>
  <si>
    <t>litre fuel /100km</t>
  </si>
  <si>
    <t>IMW</t>
  </si>
  <si>
    <t>IMD</t>
  </si>
  <si>
    <t>FMW</t>
  </si>
  <si>
    <t>FMD</t>
  </si>
  <si>
    <t>initial moisture raw material (wet basis)</t>
  </si>
  <si>
    <t>final moisture pellets (wet basis)</t>
  </si>
  <si>
    <t>wood residues</t>
  </si>
  <si>
    <t>kWh steam /ton vaporized water</t>
  </si>
  <si>
    <t>W</t>
  </si>
  <si>
    <t>V</t>
  </si>
  <si>
    <t>select units</t>
  </si>
  <si>
    <t xml:space="preserve">  = V x LHV</t>
  </si>
  <si>
    <t>diesel/natural gas/....</t>
  </si>
  <si>
    <t>CWAPE default</t>
  </si>
  <si>
    <t>kg CO2/kWhp</t>
  </si>
  <si>
    <t>kWh / ton</t>
  </si>
  <si>
    <t>harvesting</t>
  </si>
  <si>
    <t>OS</t>
  </si>
  <si>
    <t>Harvesting/chipping</t>
  </si>
  <si>
    <t>litre/ton pellet</t>
  </si>
  <si>
    <t>Nm³/ton pellet</t>
  </si>
  <si>
    <t>kg/ton pellet</t>
  </si>
  <si>
    <t>RAW MATERIAL SOURCING</t>
  </si>
  <si>
    <t>Moisture contents of raw material</t>
  </si>
  <si>
    <t>http://www2.ademe.fr/servlet/getBin?name=24C7625FA9D8472C366A28BDD77EB1341144246653825.pdf</t>
  </si>
  <si>
    <r>
      <t xml:space="preserve">Emissions for raw material sourcing </t>
    </r>
    <r>
      <rPr>
        <b/>
        <sz val="12"/>
        <rFont val="Times New Roman"/>
        <family val="1"/>
      </rPr>
      <t>(/ton finished product)</t>
    </r>
  </si>
  <si>
    <r>
      <t>Emissions for raw material sourcing (</t>
    </r>
    <r>
      <rPr>
        <b/>
        <sz val="12"/>
        <rFont val="Times New Roman"/>
        <family val="1"/>
      </rPr>
      <t>/ton raw material</t>
    </r>
    <r>
      <rPr>
        <sz val="12"/>
        <rFont val="Times New Roman"/>
        <family val="1"/>
      </rPr>
      <t>)</t>
    </r>
  </si>
  <si>
    <t xml:space="preserve">    heat source:</t>
  </si>
  <si>
    <t xml:space="preserve">    biomass fuel type :</t>
  </si>
  <si>
    <t xml:space="preserve">    biomass fuel orgin :</t>
  </si>
  <si>
    <t>MJ/litre</t>
  </si>
  <si>
    <t>MJ/Nm³</t>
  </si>
  <si>
    <t>MJ/kg</t>
  </si>
  <si>
    <t>chipping</t>
  </si>
  <si>
    <t xml:space="preserve">result rounded to the nearest multiple of 5    </t>
  </si>
  <si>
    <t>of raw material</t>
  </si>
  <si>
    <t>Harvesting primary ressource   applicable to</t>
  </si>
  <si>
    <t xml:space="preserve">Chipping off site                      applicable to </t>
  </si>
  <si>
    <t>LHV raw material</t>
  </si>
  <si>
    <t xml:space="preserve"> = K x KTKM</t>
  </si>
  <si>
    <t xml:space="preserve"> = K x H x LTKM / 3.6</t>
  </si>
  <si>
    <t>litre fuel /ton km</t>
  </si>
  <si>
    <t>saw dust - shavings</t>
  </si>
  <si>
    <t>fresh wood</t>
  </si>
  <si>
    <t>RAW MATERIAL PREPARATION</t>
  </si>
  <si>
    <t>P</t>
  </si>
  <si>
    <t>C</t>
  </si>
  <si>
    <t>kWhp / ton crushed/chipped material</t>
  </si>
  <si>
    <t>RMP</t>
  </si>
  <si>
    <t xml:space="preserve">  = P x C</t>
  </si>
  <si>
    <r>
      <t xml:space="preserve">Sum energy consumption for raw material transportation and preparation </t>
    </r>
    <r>
      <rPr>
        <b/>
        <sz val="12"/>
        <rFont val="Times New Roman"/>
        <family val="1"/>
      </rPr>
      <t>(kWh/ton raw material)</t>
    </r>
  </si>
  <si>
    <r>
      <t xml:space="preserve">Average </t>
    </r>
    <r>
      <rPr>
        <b/>
        <sz val="12"/>
        <rFont val="Times New Roman"/>
        <family val="1"/>
      </rPr>
      <t>heat obtained from biomass burner</t>
    </r>
    <r>
      <rPr>
        <sz val="12"/>
        <rFont val="Times New Roman"/>
        <family val="1"/>
      </rPr>
      <t xml:space="preserve"> needed for drying the biomass</t>
    </r>
  </si>
  <si>
    <t>CF3</t>
  </si>
  <si>
    <t>F3</t>
  </si>
  <si>
    <t>F2</t>
  </si>
  <si>
    <t>USA</t>
  </si>
  <si>
    <t>Canada</t>
  </si>
  <si>
    <t>default( ADEME)</t>
  </si>
  <si>
    <t>kWh heat /ton pellet</t>
  </si>
  <si>
    <t>kWh heat /ton vaporized water</t>
  </si>
  <si>
    <t>boiler/burner efficiency</t>
  </si>
  <si>
    <t>kg CO2 / KWhp (wood harvesting/milling/drying)</t>
  </si>
  <si>
    <t>number of days at sea</t>
  </si>
  <si>
    <t>Chipping/crushing not included in the energy expenses of the processing unit</t>
  </si>
  <si>
    <t>MT/vessel voor Supramax</t>
  </si>
  <si>
    <t>MT/vessel voor Handysize</t>
  </si>
  <si>
    <t>tons of cargo load</t>
  </si>
  <si>
    <t>assumed speed</t>
  </si>
  <si>
    <t>knots</t>
  </si>
  <si>
    <t>15 000-40 000 mt</t>
  </si>
  <si>
    <t>40 000-60 000 mt</t>
  </si>
  <si>
    <t>remove this item if:
- there is no chipping/crushing at all
- the chipping/crushing is included in the energy use of the processing unit
- the chipping/crushing  is perfomed in forest as part of the harvesting operations</t>
  </si>
  <si>
    <r>
      <t xml:space="preserve">(unless chipping/crushing is performed </t>
    </r>
    <r>
      <rPr>
        <u/>
        <sz val="12"/>
        <rFont val="Times New Roman"/>
        <family val="1"/>
      </rPr>
      <t>in forests</t>
    </r>
    <r>
      <rPr>
        <sz val="12"/>
        <rFont val="Times New Roman"/>
        <family val="1"/>
      </rPr>
      <t>)</t>
    </r>
  </si>
  <si>
    <t>fossil fuel</t>
  </si>
  <si>
    <t>emission factor</t>
  </si>
  <si>
    <t>MJ/ton pellet</t>
  </si>
  <si>
    <t>kWh/MJ</t>
  </si>
  <si>
    <t>MJ/kg.</t>
  </si>
  <si>
    <t>MFO-RFO</t>
  </si>
  <si>
    <t>natural gas(*)</t>
  </si>
  <si>
    <t>(*) : default LHV for natural gas is only to be used if no specific local info is available</t>
  </si>
  <si>
    <t xml:space="preserve">MJ/Nm³ </t>
  </si>
  <si>
    <t>(source : VREG)</t>
  </si>
  <si>
    <t>(as for diesel used by trucks)</t>
  </si>
  <si>
    <t>(as for RFO)</t>
  </si>
  <si>
    <t>http://www.efcf.com/reports/E10.pdf</t>
  </si>
  <si>
    <t>(same as above, considering Gas density (1.013 bar and 15 °C (59 °F)) : 1.91 kg/m3 source : http://encyclopedia.airliquide.com/Encyclopedia.asp?GasID=53)</t>
  </si>
  <si>
    <t>supplier:</t>
  </si>
  <si>
    <t>year:</t>
  </si>
  <si>
    <t xml:space="preserve">    -</t>
  </si>
  <si>
    <t>.....</t>
  </si>
  <si>
    <t xml:space="preserve"> - Carbon balance form - CWAPE -</t>
  </si>
  <si>
    <t xml:space="preserve"> - Energy balance form - VREG -</t>
  </si>
  <si>
    <t>of raw material is chipped/crushed</t>
  </si>
  <si>
    <t>marine distillate fuel</t>
  </si>
  <si>
    <t>MJ/ton</t>
  </si>
  <si>
    <t>LHV_fuel</t>
  </si>
  <si>
    <t>residual fuel oil</t>
  </si>
  <si>
    <t>mt fuel/day</t>
  </si>
  <si>
    <t xml:space="preserve"> = RRT + RDT + RRB + RMP</t>
  </si>
  <si>
    <t>Version 2013-2</t>
  </si>
  <si>
    <t xml:space="preserve">http://encyclopedia.airliquide.com/Encyclopedia.asp?GasID=53 </t>
  </si>
  <si>
    <t>kg/m³</t>
  </si>
  <si>
    <t>(Energy consumption in equivalent electricity, assuming fossil energy is converted into electricity with a 55% efficiency)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</si>
</sst>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[$-809]dd\ mmmm\ yyyy;@"/>
    <numFmt numFmtId="167" formatCode="0.0000"/>
    <numFmt numFmtId="168" formatCode="0.00000"/>
  </numFmts>
  <fonts count="38">
    <font>
      <sz val="10"/>
      <name val="Arial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22"/>
      <name val="Arial"/>
      <family val="2"/>
    </font>
    <font>
      <i/>
      <sz val="11"/>
      <name val="Arial"/>
      <family val="2"/>
    </font>
    <font>
      <i/>
      <sz val="11"/>
      <name val="Symbol"/>
      <family val="1"/>
      <charset val="2"/>
    </font>
    <font>
      <b/>
      <sz val="16"/>
      <color indexed="6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4"/>
      <color indexed="62"/>
      <name val="Times New Roman"/>
      <family val="1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7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6"/>
      <color indexed="6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0"/>
      <color indexed="12"/>
      <name val="Arial"/>
      <family val="2"/>
    </font>
    <font>
      <i/>
      <sz val="11"/>
      <color indexed="55"/>
      <name val="Times New Roman"/>
      <family val="1"/>
    </font>
    <font>
      <i/>
      <sz val="10"/>
      <color indexed="55"/>
      <name val="Times New Roman"/>
      <family val="1"/>
    </font>
    <font>
      <sz val="16"/>
      <color indexed="55"/>
      <name val="Times New Roman"/>
      <family val="1"/>
    </font>
    <font>
      <u/>
      <sz val="10"/>
      <color indexed="12"/>
      <name val="Arial"/>
      <family val="2"/>
    </font>
    <font>
      <u/>
      <sz val="12"/>
      <name val="Times New Roman"/>
      <family val="1"/>
    </font>
    <font>
      <sz val="10"/>
      <name val="Arial"/>
      <family val="2"/>
    </font>
    <font>
      <sz val="8"/>
      <color indexed="10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320">
    <xf numFmtId="0" fontId="0" fillId="0" borderId="0" xfId="0"/>
    <xf numFmtId="0" fontId="0" fillId="0" borderId="0" xfId="0" applyBorder="1"/>
    <xf numFmtId="0" fontId="12" fillId="0" borderId="1" xfId="0" applyFont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center"/>
    </xf>
    <xf numFmtId="164" fontId="15" fillId="0" borderId="1" xfId="0" applyNumberFormat="1" applyFont="1" applyBorder="1" applyAlignment="1" applyProtection="1">
      <alignment horizontal="righ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right" vertical="center" wrapText="1"/>
    </xf>
    <xf numFmtId="164" fontId="15" fillId="0" borderId="4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righ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vertical="top"/>
      <protection locked="0"/>
    </xf>
    <xf numFmtId="164" fontId="15" fillId="0" borderId="8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Border="1" applyProtection="1">
      <protection locked="0"/>
    </xf>
    <xf numFmtId="9" fontId="20" fillId="0" borderId="0" xfId="0" applyNumberFormat="1" applyFont="1" applyFill="1" applyBorder="1" applyAlignment="1" applyProtection="1">
      <alignment horizontal="left"/>
      <protection locked="0"/>
    </xf>
    <xf numFmtId="9" fontId="20" fillId="0" borderId="0" xfId="0" applyNumberFormat="1" applyFont="1" applyBorder="1" applyAlignment="1" applyProtection="1">
      <alignment horizontal="left"/>
      <protection locked="0"/>
    </xf>
    <xf numFmtId="1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9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166" fontId="16" fillId="0" borderId="11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/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top" wrapText="1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20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164" fontId="12" fillId="0" borderId="0" xfId="0" applyNumberFormat="1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right" vertical="center"/>
    </xf>
    <xf numFmtId="0" fontId="28" fillId="0" borderId="0" xfId="0" applyFont="1" applyBorder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0" fontId="28" fillId="0" borderId="0" xfId="0" applyFont="1" applyFill="1" applyBorder="1" applyProtection="1">
      <protection locked="0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vertical="top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165" fontId="14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3" xfId="0" applyFont="1" applyFill="1" applyBorder="1" applyAlignment="1">
      <alignment vertical="center"/>
    </xf>
    <xf numFmtId="9" fontId="10" fillId="0" borderId="0" xfId="0" applyNumberFormat="1" applyFont="1" applyFill="1" applyBorder="1" applyAlignment="1" applyProtection="1">
      <alignment vertical="center" wrapText="1"/>
    </xf>
    <xf numFmtId="9" fontId="10" fillId="0" borderId="4" xfId="0" applyNumberFormat="1" applyFont="1" applyFill="1" applyBorder="1" applyAlignment="1" applyProtection="1">
      <alignment vertical="center" wrapText="1"/>
    </xf>
    <xf numFmtId="165" fontId="12" fillId="0" borderId="13" xfId="0" applyNumberFormat="1" applyFont="1" applyBorder="1" applyAlignment="1" applyProtection="1">
      <alignment horizontal="right" vertical="center" wrapText="1"/>
    </xf>
    <xf numFmtId="1" fontId="12" fillId="0" borderId="0" xfId="0" applyNumberFormat="1" applyFont="1" applyFill="1" applyBorder="1" applyAlignment="1" applyProtection="1">
      <alignment horizontal="right" vertical="center" wrapText="1"/>
    </xf>
    <xf numFmtId="1" fontId="29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right" vertical="center"/>
    </xf>
    <xf numFmtId="164" fontId="15" fillId="0" borderId="4" xfId="0" applyNumberFormat="1" applyFont="1" applyFill="1" applyBorder="1" applyAlignment="1" applyProtection="1">
      <alignment horizontal="right" vertical="center" wrapText="1"/>
    </xf>
    <xf numFmtId="164" fontId="12" fillId="0" borderId="0" xfId="0" applyNumberFormat="1" applyFont="1" applyFill="1" applyBorder="1" applyAlignment="1" applyProtection="1">
      <alignment horizontal="right" vertical="center" wrapText="1"/>
    </xf>
    <xf numFmtId="0" fontId="12" fillId="0" borderId="13" xfId="0" applyFont="1" applyBorder="1" applyAlignment="1" applyProtection="1">
      <alignment horizontal="right" vertical="center" wrapText="1"/>
    </xf>
    <xf numFmtId="1" fontId="24" fillId="0" borderId="1" xfId="0" applyNumberFormat="1" applyFont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right" vertical="center" wrapText="1"/>
    </xf>
    <xf numFmtId="9" fontId="10" fillId="0" borderId="0" xfId="0" applyNumberFormat="1" applyFont="1" applyBorder="1" applyAlignment="1" applyProtection="1">
      <alignment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</xf>
    <xf numFmtId="9" fontId="10" fillId="0" borderId="1" xfId="0" applyNumberFormat="1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11" fillId="0" borderId="14" xfId="0" applyFont="1" applyBorder="1" applyAlignment="1" applyProtection="1">
      <alignment wrapText="1"/>
    </xf>
    <xf numFmtId="166" fontId="16" fillId="0" borderId="11" xfId="0" applyNumberFormat="1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wrapText="1"/>
    </xf>
    <xf numFmtId="0" fontId="11" fillId="0" borderId="15" xfId="0" applyFont="1" applyBorder="1" applyAlignment="1" applyProtection="1">
      <alignment vertical="top" wrapText="1"/>
    </xf>
    <xf numFmtId="0" fontId="17" fillId="0" borderId="16" xfId="0" applyFont="1" applyBorder="1" applyAlignment="1" applyProtection="1">
      <alignment vertical="top"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horizontal="right" vertical="center"/>
    </xf>
    <xf numFmtId="9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horizontal="right" vertical="center" wrapText="1"/>
    </xf>
    <xf numFmtId="167" fontId="14" fillId="2" borderId="1" xfId="0" applyNumberFormat="1" applyFont="1" applyFill="1" applyBorder="1" applyAlignment="1" applyProtection="1">
      <alignment horizontal="right" vertical="center"/>
      <protection locked="0"/>
    </xf>
    <xf numFmtId="164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4" xfId="0" applyFont="1" applyBorder="1" applyAlignment="1" applyProtection="1">
      <alignment horizontal="right" vertical="center" wrapText="1"/>
    </xf>
    <xf numFmtId="0" fontId="8" fillId="0" borderId="13" xfId="0" applyFont="1" applyBorder="1" applyAlignment="1" applyProtection="1"/>
    <xf numFmtId="0" fontId="15" fillId="0" borderId="9" xfId="0" applyFont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5" xfId="0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9" fontId="11" fillId="0" borderId="0" xfId="0" applyNumberFormat="1" applyFont="1" applyBorder="1" applyAlignment="1" applyProtection="1">
      <alignment vertical="top" wrapText="1"/>
      <protection locked="0"/>
    </xf>
    <xf numFmtId="9" fontId="11" fillId="0" borderId="0" xfId="0" applyNumberFormat="1" applyFont="1" applyBorder="1" applyAlignment="1" applyProtection="1">
      <alignment horizontal="center" vertical="top" wrapText="1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9" fontId="10" fillId="2" borderId="0" xfId="0" applyNumberFormat="1" applyFont="1" applyFill="1" applyBorder="1" applyAlignment="1" applyProtection="1">
      <alignment vertical="center" wrapText="1"/>
      <protection locked="0"/>
    </xf>
    <xf numFmtId="2" fontId="11" fillId="0" borderId="0" xfId="0" applyNumberFormat="1" applyFont="1" applyBorder="1" applyAlignment="1" applyProtection="1">
      <alignment horizontal="right" vertical="top" wrapText="1"/>
    </xf>
    <xf numFmtId="0" fontId="0" fillId="0" borderId="5" xfId="0" applyBorder="1" applyProtection="1"/>
    <xf numFmtId="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4" xfId="0" applyBorder="1" applyProtection="1"/>
    <xf numFmtId="0" fontId="11" fillId="0" borderId="17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/>
    </xf>
    <xf numFmtId="168" fontId="28" fillId="0" borderId="0" xfId="0" applyNumberFormat="1" applyFont="1" applyFill="1"/>
    <xf numFmtId="168" fontId="28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vertical="center"/>
    </xf>
    <xf numFmtId="9" fontId="11" fillId="4" borderId="1" xfId="0" applyNumberFormat="1" applyFont="1" applyFill="1" applyBorder="1" applyAlignment="1" applyProtection="1">
      <alignment horizontal="right" vertical="top" wrapText="1"/>
    </xf>
    <xf numFmtId="0" fontId="10" fillId="4" borderId="2" xfId="0" applyFont="1" applyFill="1" applyBorder="1" applyAlignment="1" applyProtection="1">
      <alignment vertical="center"/>
    </xf>
    <xf numFmtId="165" fontId="19" fillId="0" borderId="0" xfId="0" applyNumberFormat="1" applyFont="1" applyBorder="1" applyAlignment="1" applyProtection="1">
      <alignment horizontal="left"/>
      <protection locked="0"/>
    </xf>
    <xf numFmtId="165" fontId="19" fillId="0" borderId="0" xfId="0" applyNumberFormat="1" applyFont="1" applyBorder="1" applyAlignment="1" applyProtection="1">
      <alignment horizontal="left" vertical="top"/>
      <protection locked="0"/>
    </xf>
    <xf numFmtId="0" fontId="19" fillId="0" borderId="0" xfId="0" applyFont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165" fontId="35" fillId="0" borderId="0" xfId="0" applyNumberFormat="1" applyFont="1" applyBorder="1" applyAlignment="1" applyProtection="1">
      <alignment horizontal="left" vertical="top"/>
      <protection locked="0"/>
    </xf>
    <xf numFmtId="0" fontId="35" fillId="0" borderId="0" xfId="0" applyFont="1" applyBorder="1" applyProtection="1">
      <protection locked="0"/>
    </xf>
    <xf numFmtId="0" fontId="36" fillId="0" borderId="0" xfId="1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2" fontId="12" fillId="0" borderId="0" xfId="0" applyNumberFormat="1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>
      <alignment vertical="top" wrapText="1"/>
    </xf>
    <xf numFmtId="2" fontId="12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vertical="top"/>
      <protection locked="0"/>
    </xf>
    <xf numFmtId="0" fontId="36" fillId="0" borderId="0" xfId="1" applyFont="1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/>
      <protection locked="0"/>
    </xf>
    <xf numFmtId="165" fontId="19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wrapText="1"/>
    </xf>
    <xf numFmtId="0" fontId="0" fillId="4" borderId="7" xfId="0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14" fontId="16" fillId="0" borderId="19" xfId="0" applyNumberFormat="1" applyFont="1" applyBorder="1" applyAlignment="1" applyProtection="1">
      <alignment horizontal="left" vertical="center" wrapText="1"/>
    </xf>
    <xf numFmtId="14" fontId="16" fillId="0" borderId="20" xfId="0" applyNumberFormat="1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left" wrapText="1"/>
      <protection locked="0"/>
    </xf>
    <xf numFmtId="0" fontId="11" fillId="0" borderId="20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4" fontId="16" fillId="0" borderId="2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">
    <dxf>
      <font>
        <b/>
        <i val="0"/>
        <condense val="0"/>
        <extend val="0"/>
        <color indexed="12"/>
      </font>
      <fill>
        <patternFill>
          <bgColor indexed="14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14"/>
        </patternFill>
      </fill>
      <border>
        <left style="thin">
          <color indexed="13"/>
        </left>
        <right style="thin">
          <color indexed="13"/>
        </right>
        <top style="thin">
          <color indexed="13"/>
        </top>
        <bottom style="thin">
          <color indexed="13"/>
        </bottom>
      </border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38100</xdr:rowOff>
    </xdr:from>
    <xdr:to>
      <xdr:col>3</xdr:col>
      <xdr:colOff>2124075</xdr:colOff>
      <xdr:row>5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38100"/>
          <a:ext cx="1562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38100</xdr:rowOff>
    </xdr:from>
    <xdr:to>
      <xdr:col>5</xdr:col>
      <xdr:colOff>2124075</xdr:colOff>
      <xdr:row>5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38100"/>
          <a:ext cx="1562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ncyclopedia.airliquide.com/Encyclopedia.asp?GasID=53" TargetMode="External"/><Relationship Id="rId1" Type="http://schemas.openxmlformats.org/officeDocument/2006/relationships/hyperlink" Target="http://www.efcf.com/reports/E10.pdf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>
      <selection activeCell="A94" sqref="A94"/>
    </sheetView>
  </sheetViews>
  <sheetFormatPr defaultRowHeight="12.75"/>
  <cols>
    <col min="1" max="1" width="56.42578125" style="88" customWidth="1"/>
    <col min="2" max="2" width="10.85546875" style="84" customWidth="1"/>
    <col min="3" max="3" width="17.5703125" style="87" customWidth="1"/>
    <col min="4" max="4" width="33" style="15" customWidth="1"/>
    <col min="5" max="5" width="29" style="159" customWidth="1"/>
    <col min="7" max="16384" width="9.140625" style="159"/>
  </cols>
  <sheetData>
    <row r="1" spans="1:4" ht="12.75" customHeight="1">
      <c r="A1" s="83" t="str">
        <f>CWAPE!A1</f>
        <v>BIOMASS VERIFICATION PROCEDURE</v>
      </c>
      <c r="B1" s="84" t="s">
        <v>228</v>
      </c>
      <c r="C1" s="262" t="str">
        <f>CWAPE!D1</f>
        <v xml:space="preserve">    -</v>
      </c>
    </row>
    <row r="2" spans="1:4" ht="12.75" customHeight="1">
      <c r="A2" s="85" t="s">
        <v>1</v>
      </c>
      <c r="B2" s="252"/>
      <c r="C2" s="262"/>
    </row>
    <row r="3" spans="1:4" ht="12.75" customHeight="1">
      <c r="A3" s="85" t="s">
        <v>2</v>
      </c>
    </row>
    <row r="4" spans="1:4" ht="12.75" customHeight="1">
      <c r="A4" s="85" t="str">
        <f>CWAPE!A4</f>
        <v>Version 2013-2</v>
      </c>
      <c r="B4" s="84" t="s">
        <v>229</v>
      </c>
      <c r="C4" s="263" t="str">
        <f>CWAPE!D4</f>
        <v>.....</v>
      </c>
    </row>
    <row r="5" spans="1:4" ht="12.75" customHeight="1">
      <c r="A5" s="86" t="s">
        <v>3</v>
      </c>
      <c r="C5" s="263"/>
    </row>
    <row r="6" spans="1:4" ht="14.25">
      <c r="C6" s="89"/>
    </row>
    <row r="7" spans="1:4" ht="20.25">
      <c r="A7" s="266" t="s">
        <v>233</v>
      </c>
      <c r="B7" s="266"/>
      <c r="C7" s="266"/>
      <c r="D7" s="266"/>
    </row>
    <row r="8" spans="1:4" ht="14.25" customHeight="1">
      <c r="A8" s="90"/>
      <c r="B8" s="91"/>
      <c r="C8" s="91"/>
      <c r="D8" s="91"/>
    </row>
    <row r="9" spans="1:4" ht="24" customHeight="1">
      <c r="A9" s="92" t="s">
        <v>4</v>
      </c>
      <c r="B9" s="93"/>
      <c r="C9" s="19"/>
      <c r="D9" s="12"/>
    </row>
    <row r="10" spans="1:4" ht="15" customHeight="1">
      <c r="A10" s="267" t="s">
        <v>5</v>
      </c>
      <c r="B10" s="94" t="str">
        <f>CWAPE!D19</f>
        <v>K</v>
      </c>
      <c r="C10" s="2">
        <f>CWAPE!E19</f>
        <v>0</v>
      </c>
      <c r="D10" s="3" t="str">
        <f>CWAPE!F19</f>
        <v>km</v>
      </c>
    </row>
    <row r="11" spans="1:4" ht="15" customHeight="1">
      <c r="A11" s="268"/>
      <c r="B11" s="95" t="str">
        <f>CWAPE!D20</f>
        <v>H</v>
      </c>
      <c r="C11" s="4">
        <f>CWAPE!E20</f>
        <v>35.86</v>
      </c>
      <c r="D11" s="5" t="str">
        <f>CWAPE!F20</f>
        <v>MJ/litre, heating value fossil fuel</v>
      </c>
    </row>
    <row r="12" spans="1:4" ht="15" customHeight="1">
      <c r="A12" s="268"/>
      <c r="B12" s="95" t="str">
        <f>CWAPE!D21</f>
        <v>L</v>
      </c>
      <c r="C12" s="4">
        <f>CWAPE!E21</f>
        <v>30</v>
      </c>
      <c r="D12" s="5" t="str">
        <f>CWAPE!F21</f>
        <v>litre fuel /100km</v>
      </c>
    </row>
    <row r="13" spans="1:4" ht="15" customHeight="1">
      <c r="A13" s="268"/>
      <c r="B13" s="95" t="str">
        <f>CWAPE!D22</f>
        <v>Q</v>
      </c>
      <c r="C13" s="4">
        <f>CWAPE!E22</f>
        <v>0</v>
      </c>
      <c r="D13" s="5" t="str">
        <f>CWAPE!F22</f>
        <v>tons of raw material per truck</v>
      </c>
    </row>
    <row r="14" spans="1:4" ht="20.25">
      <c r="A14" s="268"/>
      <c r="B14" s="96" t="str">
        <f>CWAPE!D24</f>
        <v>RRT</v>
      </c>
      <c r="C14" s="6">
        <f>IF(C13=0,0,C12*C11*C10/3.6/100/C13)</f>
        <v>0</v>
      </c>
      <c r="D14" s="7" t="str">
        <f>CWAPE!F24</f>
        <v>kWhp/ton raw material</v>
      </c>
    </row>
    <row r="15" spans="1:4" ht="15.75" customHeight="1">
      <c r="A15" s="269"/>
      <c r="B15" s="97"/>
      <c r="C15" s="8" t="s">
        <v>114</v>
      </c>
      <c r="D15" s="9"/>
    </row>
    <row r="16" spans="1:4" ht="15" customHeight="1">
      <c r="A16" s="267" t="s">
        <v>21</v>
      </c>
      <c r="B16" s="94" t="str">
        <f>CWAPE!D27</f>
        <v>K</v>
      </c>
      <c r="C16" s="2">
        <f>CWAPE!E27</f>
        <v>0</v>
      </c>
      <c r="D16" s="3" t="str">
        <f>CWAPE!F27</f>
        <v>km</v>
      </c>
    </row>
    <row r="17" spans="1:5" ht="15" customHeight="1">
      <c r="A17" s="268"/>
      <c r="B17" s="95" t="str">
        <f>CWAPE!D28</f>
        <v>H</v>
      </c>
      <c r="C17" s="4">
        <f>CWAPE!E28</f>
        <v>35.86</v>
      </c>
      <c r="D17" s="5" t="str">
        <f>CWAPE!F28</f>
        <v>MJ/litre, heating value fossil fuel</v>
      </c>
    </row>
    <row r="18" spans="1:5" ht="15" customHeight="1">
      <c r="A18" s="268"/>
      <c r="B18" s="95" t="str">
        <f>CWAPE!D29</f>
        <v>LTKM</v>
      </c>
      <c r="C18" s="4">
        <f>CWAPE!E29</f>
        <v>1.6E-2</v>
      </c>
      <c r="D18" s="5" t="str">
        <f>CWAPE!F29</f>
        <v>litre/ton.km</v>
      </c>
    </row>
    <row r="19" spans="1:5" ht="20.25">
      <c r="A19" s="268"/>
      <c r="B19" s="96" t="str">
        <f>CWAPE!D31</f>
        <v>RDT</v>
      </c>
      <c r="C19" s="6">
        <f>C16*C17*C18/3.6</f>
        <v>0</v>
      </c>
      <c r="D19" s="7" t="str">
        <f>CWAPE!F31</f>
        <v>kWhp/ton raw material</v>
      </c>
    </row>
    <row r="20" spans="1:5" ht="16.5" customHeight="1">
      <c r="A20" s="269"/>
      <c r="B20" s="97"/>
      <c r="C20" s="8" t="s">
        <v>181</v>
      </c>
      <c r="D20" s="9"/>
    </row>
    <row r="21" spans="1:5" ht="14.25" customHeight="1">
      <c r="A21" s="267" t="s">
        <v>26</v>
      </c>
      <c r="B21" s="94" t="str">
        <f>CWAPE!D34</f>
        <v>K</v>
      </c>
      <c r="C21" s="2">
        <f>CWAPE!E34</f>
        <v>0</v>
      </c>
      <c r="D21" s="3" t="str">
        <f>CWAPE!F34</f>
        <v>km</v>
      </c>
    </row>
    <row r="22" spans="1:5" ht="14.25" customHeight="1">
      <c r="A22" s="268"/>
      <c r="B22" s="95" t="str">
        <f>CWAPE!D35</f>
        <v>H</v>
      </c>
      <c r="C22" s="4">
        <f>CWAPE!E35</f>
        <v>35.86</v>
      </c>
      <c r="D22" s="5" t="str">
        <f>CWAPE!F35</f>
        <v>MJ/litre, heating value fossil fuel</v>
      </c>
    </row>
    <row r="23" spans="1:5" ht="14.25" customHeight="1">
      <c r="A23" s="268"/>
      <c r="B23" s="95" t="str">
        <f>CWAPE!D36</f>
        <v>LTKM</v>
      </c>
      <c r="C23" s="4">
        <f>CWAPE!E36</f>
        <v>4.8500000000000001E-3</v>
      </c>
      <c r="D23" s="5" t="str">
        <f>CWAPE!F36</f>
        <v>litre fuel /ton km</v>
      </c>
    </row>
    <row r="24" spans="1:5" ht="23.25" customHeight="1">
      <c r="A24" s="268"/>
      <c r="B24" s="96" t="str">
        <f>CWAPE!D38</f>
        <v>RRB</v>
      </c>
      <c r="C24" s="6">
        <f>C23*C22*C21/3.6</f>
        <v>0</v>
      </c>
      <c r="D24" s="7" t="str">
        <f>CWAPE!F38</f>
        <v>kWhp/ton raw material</v>
      </c>
    </row>
    <row r="25" spans="1:5" ht="14.25" customHeight="1">
      <c r="A25" s="269"/>
      <c r="B25" s="98"/>
      <c r="C25" s="8" t="s">
        <v>114</v>
      </c>
      <c r="D25" s="10"/>
    </row>
    <row r="26" spans="1:5" ht="21.75" customHeight="1">
      <c r="A26" s="92" t="s">
        <v>185</v>
      </c>
      <c r="B26" s="99"/>
      <c r="C26" s="21"/>
      <c r="D26" s="12"/>
    </row>
    <row r="27" spans="1:5" ht="16.5" customHeight="1">
      <c r="A27" s="267" t="s">
        <v>204</v>
      </c>
      <c r="B27" s="232" t="s">
        <v>186</v>
      </c>
      <c r="C27" s="242">
        <f>CWAPE!B16</f>
        <v>0</v>
      </c>
      <c r="D27" s="243" t="s">
        <v>234</v>
      </c>
      <c r="E27" s="264" t="s">
        <v>212</v>
      </c>
    </row>
    <row r="28" spans="1:5" ht="18.75" customHeight="1">
      <c r="A28" s="268"/>
      <c r="B28" s="84" t="s">
        <v>187</v>
      </c>
      <c r="C28" s="228">
        <f>1.69*35.71/3.6</f>
        <v>16.763861111111112</v>
      </c>
      <c r="D28" s="5" t="s">
        <v>188</v>
      </c>
      <c r="E28" s="265"/>
    </row>
    <row r="29" spans="1:5" ht="21.75" customHeight="1">
      <c r="A29" s="234" t="s">
        <v>213</v>
      </c>
      <c r="B29" s="84" t="s">
        <v>189</v>
      </c>
      <c r="C29" s="6">
        <f>C27*C28</f>
        <v>0</v>
      </c>
      <c r="D29" s="7" t="s">
        <v>16</v>
      </c>
      <c r="E29" s="265"/>
    </row>
    <row r="30" spans="1:5" ht="11.25" customHeight="1">
      <c r="A30" s="235"/>
      <c r="B30" s="233"/>
      <c r="C30" s="8" t="s">
        <v>190</v>
      </c>
      <c r="D30" s="229"/>
      <c r="E30" s="265"/>
    </row>
    <row r="31" spans="1:5" ht="24" customHeight="1">
      <c r="A31" s="92" t="s">
        <v>29</v>
      </c>
      <c r="B31" s="99"/>
      <c r="C31" s="11"/>
      <c r="D31" s="12"/>
    </row>
    <row r="32" spans="1:5" ht="26.25" customHeight="1">
      <c r="A32" s="267" t="s">
        <v>191</v>
      </c>
      <c r="B32" s="100" t="s">
        <v>115</v>
      </c>
      <c r="C32" s="13">
        <f>SUM(C24,C19,C14,C29)</f>
        <v>0</v>
      </c>
      <c r="D32" s="14" t="s">
        <v>16</v>
      </c>
    </row>
    <row r="33" spans="1:4" ht="14.25" customHeight="1">
      <c r="A33" s="269"/>
      <c r="B33" s="97"/>
      <c r="C33" s="8" t="s">
        <v>240</v>
      </c>
      <c r="D33" s="9"/>
    </row>
    <row r="34" spans="1:4" ht="14.25" customHeight="1">
      <c r="A34" s="267" t="s">
        <v>31</v>
      </c>
      <c r="B34" s="101" t="str">
        <f>CWAPE!D12</f>
        <v>IMD</v>
      </c>
      <c r="C34" s="149">
        <f>CWAPE!E12</f>
        <v>1</v>
      </c>
      <c r="D34" s="150" t="s">
        <v>116</v>
      </c>
    </row>
    <row r="35" spans="1:4" ht="14.25" customHeight="1">
      <c r="A35" s="268"/>
      <c r="B35" s="151" t="str">
        <f>CWAPE!D14</f>
        <v>FMD</v>
      </c>
      <c r="C35" s="147">
        <f>CWAPE!E14</f>
        <v>9.8901098901098897E-2</v>
      </c>
      <c r="D35" s="152" t="s">
        <v>117</v>
      </c>
    </row>
    <row r="36" spans="1:4" s="15" customFormat="1" ht="16.5" customHeight="1">
      <c r="A36" s="268"/>
      <c r="B36" s="151" t="str">
        <f>CWAPE!D43</f>
        <v>CR</v>
      </c>
      <c r="C36" s="148">
        <f>CWAPE!E43</f>
        <v>0.5494505494505495</v>
      </c>
      <c r="D36" s="16" t="s">
        <v>33</v>
      </c>
    </row>
    <row r="37" spans="1:4" s="15" customFormat="1" ht="16.5" customHeight="1">
      <c r="A37" s="269"/>
      <c r="B37" s="153"/>
      <c r="C37" s="154" t="s">
        <v>118</v>
      </c>
      <c r="D37" s="155"/>
    </row>
    <row r="38" spans="1:4" ht="22.5" customHeight="1">
      <c r="A38" s="267" t="s">
        <v>119</v>
      </c>
      <c r="B38" s="100" t="s">
        <v>120</v>
      </c>
      <c r="C38" s="13">
        <f>C32/C36</f>
        <v>0</v>
      </c>
      <c r="D38" s="14" t="s">
        <v>44</v>
      </c>
    </row>
    <row r="39" spans="1:4" ht="14.25" customHeight="1">
      <c r="A39" s="269"/>
      <c r="B39" s="97"/>
      <c r="C39" s="8" t="s">
        <v>121</v>
      </c>
      <c r="D39" s="9"/>
    </row>
    <row r="40" spans="1:4" ht="24" customHeight="1">
      <c r="A40" s="92" t="s">
        <v>36</v>
      </c>
      <c r="B40" s="102"/>
      <c r="C40" s="17"/>
      <c r="D40" s="12"/>
    </row>
    <row r="41" spans="1:4" ht="21" customHeight="1">
      <c r="A41" s="267" t="s">
        <v>131</v>
      </c>
      <c r="B41" s="100" t="str">
        <f>CWAPE!D46</f>
        <v>E</v>
      </c>
      <c r="C41" s="13">
        <f>CWAPE!E46</f>
        <v>0</v>
      </c>
      <c r="D41" s="14" t="str">
        <f>CWAPE!F46</f>
        <v>kWhe/ton pellet</v>
      </c>
    </row>
    <row r="42" spans="1:4" ht="12" customHeight="1">
      <c r="A42" s="269"/>
      <c r="B42" s="97"/>
      <c r="C42" s="181"/>
      <c r="D42" s="10"/>
    </row>
    <row r="43" spans="1:4" ht="14.25" customHeight="1">
      <c r="A43" s="270" t="s">
        <v>42</v>
      </c>
      <c r="B43" s="160" t="str">
        <f>CWAPE!D50</f>
        <v>V</v>
      </c>
      <c r="C43" s="161">
        <f>CWAPE!E50</f>
        <v>0</v>
      </c>
      <c r="D43" s="162" t="str">
        <f>CWAPE!F50</f>
        <v>select units</v>
      </c>
    </row>
    <row r="44" spans="1:4" ht="14.25" customHeight="1">
      <c r="A44" s="271"/>
      <c r="B44" s="163" t="str">
        <f>CWAPE!D51</f>
        <v>LHV</v>
      </c>
      <c r="C44" s="159">
        <f>CWAPE!E51</f>
        <v>0</v>
      </c>
      <c r="D44" s="164" t="str">
        <f>CWAPE!F51</f>
        <v>select units</v>
      </c>
    </row>
    <row r="45" spans="1:4" ht="21.75" customHeight="1">
      <c r="A45" s="271"/>
      <c r="B45" s="96" t="str">
        <f>CWAPE!D52</f>
        <v>F1</v>
      </c>
      <c r="C45" s="6">
        <f>CWAPE!E52</f>
        <v>0</v>
      </c>
      <c r="D45" s="7" t="str">
        <f>CWAPE!F52</f>
        <v>kWhp/ton pellet</v>
      </c>
    </row>
    <row r="46" spans="1:4" ht="17.25" customHeight="1">
      <c r="A46" s="271"/>
      <c r="B46" s="97"/>
      <c r="C46" s="8" t="s">
        <v>152</v>
      </c>
      <c r="D46" s="9"/>
    </row>
    <row r="47" spans="1:4" ht="15" customHeight="1">
      <c r="A47" s="271"/>
      <c r="B47" s="160" t="str">
        <f>CWAPE!D56</f>
        <v>V</v>
      </c>
      <c r="C47" s="161">
        <f>CWAPE!E56</f>
        <v>0</v>
      </c>
      <c r="D47" s="162" t="str">
        <f>CWAPE!F56</f>
        <v>select units</v>
      </c>
    </row>
    <row r="48" spans="1:4" ht="15" customHeight="1">
      <c r="A48" s="271"/>
      <c r="B48" s="163" t="str">
        <f>CWAPE!D57</f>
        <v>LHV</v>
      </c>
      <c r="C48" s="159">
        <f>CWAPE!E57</f>
        <v>0</v>
      </c>
      <c r="D48" s="164" t="str">
        <f>CWAPE!F57</f>
        <v>select units</v>
      </c>
    </row>
    <row r="49" spans="1:4" ht="21.75" customHeight="1">
      <c r="A49" s="271"/>
      <c r="B49" s="96" t="str">
        <f>CWAPE!D58</f>
        <v>F2</v>
      </c>
      <c r="C49" s="6">
        <f>CWAPE!E58</f>
        <v>0</v>
      </c>
      <c r="D49" s="7" t="str">
        <f>CWAPE!F58</f>
        <v>kWhp/ton pellet</v>
      </c>
    </row>
    <row r="50" spans="1:4" ht="18.75" customHeight="1">
      <c r="A50" s="271"/>
      <c r="B50" s="97"/>
      <c r="C50" s="8" t="s">
        <v>152</v>
      </c>
      <c r="D50" s="9"/>
    </row>
    <row r="51" spans="1:4" ht="15" customHeight="1">
      <c r="A51" s="271"/>
      <c r="B51" s="160" t="str">
        <f>CWAPE!D62</f>
        <v>V</v>
      </c>
      <c r="C51" s="161">
        <f>CWAPE!E62</f>
        <v>0</v>
      </c>
      <c r="D51" s="162" t="str">
        <f>CWAPE!F62</f>
        <v>select units</v>
      </c>
    </row>
    <row r="52" spans="1:4" ht="15" customHeight="1">
      <c r="A52" s="271"/>
      <c r="B52" s="163" t="str">
        <f>CWAPE!D63</f>
        <v>LHV</v>
      </c>
      <c r="C52" s="159">
        <f>CWAPE!E63</f>
        <v>0</v>
      </c>
      <c r="D52" s="164" t="str">
        <f>CWAPE!F63</f>
        <v>select units</v>
      </c>
    </row>
    <row r="53" spans="1:4" ht="21.75" customHeight="1">
      <c r="A53" s="271"/>
      <c r="B53" s="96" t="str">
        <f>CWAPE!D64</f>
        <v>F3</v>
      </c>
      <c r="C53" s="6">
        <f>CWAPE!E64</f>
        <v>0</v>
      </c>
      <c r="D53" s="7" t="str">
        <f>CWAPE!F64</f>
        <v>kWhp/ton pellet</v>
      </c>
    </row>
    <row r="54" spans="1:4" ht="18.75" customHeight="1">
      <c r="A54" s="272"/>
      <c r="B54" s="97"/>
      <c r="C54" s="8" t="s">
        <v>152</v>
      </c>
      <c r="D54" s="9"/>
    </row>
    <row r="55" spans="1:4" ht="24" customHeight="1">
      <c r="A55" s="182" t="s">
        <v>79</v>
      </c>
      <c r="B55" s="93"/>
      <c r="C55" s="19"/>
      <c r="D55" s="12"/>
    </row>
    <row r="56" spans="1:4" ht="15" customHeight="1">
      <c r="A56" s="267" t="s">
        <v>5</v>
      </c>
      <c r="B56" s="94" t="str">
        <f>CWAPE!D86</f>
        <v>K</v>
      </c>
      <c r="C56" s="2">
        <f>CWAPE!E86</f>
        <v>0</v>
      </c>
      <c r="D56" s="3" t="str">
        <f>CWAPE!F86</f>
        <v>km</v>
      </c>
    </row>
    <row r="57" spans="1:4" ht="15" customHeight="1">
      <c r="A57" s="268"/>
      <c r="B57" s="95" t="str">
        <f>CWAPE!D87</f>
        <v>H</v>
      </c>
      <c r="C57" s="4">
        <f>CWAPE!E87</f>
        <v>35.86</v>
      </c>
      <c r="D57" s="5" t="str">
        <f>CWAPE!F87</f>
        <v>MJ/litre, heating value fossil fuel</v>
      </c>
    </row>
    <row r="58" spans="1:4" ht="15" customHeight="1">
      <c r="A58" s="268"/>
      <c r="B58" s="95" t="str">
        <f>CWAPE!D88</f>
        <v>L</v>
      </c>
      <c r="C58" s="4">
        <f>CWAPE!E88</f>
        <v>30</v>
      </c>
      <c r="D58" s="5" t="str">
        <f>CWAPE!F88</f>
        <v>litre fuel /100km</v>
      </c>
    </row>
    <row r="59" spans="1:4" ht="15" customHeight="1">
      <c r="A59" s="268"/>
      <c r="B59" s="95" t="str">
        <f>CWAPE!D89</f>
        <v>Q</v>
      </c>
      <c r="C59" s="4">
        <f>CWAPE!E89</f>
        <v>0</v>
      </c>
      <c r="D59" s="5" t="str">
        <f>CWAPE!F89</f>
        <v>tons of biomass per truck</v>
      </c>
    </row>
    <row r="60" spans="1:4" ht="20.25">
      <c r="A60" s="268"/>
      <c r="B60" s="96" t="str">
        <f>CWAPE!D91</f>
        <v>PRT</v>
      </c>
      <c r="C60" s="6">
        <f>IF(C59=0,0,C58*C57*C56/3.6/100/C59)</f>
        <v>0</v>
      </c>
      <c r="D60" s="7" t="str">
        <f>CWAPE!F91</f>
        <v>kWhp/ton pellet</v>
      </c>
    </row>
    <row r="61" spans="1:4" ht="20.25">
      <c r="A61" s="269"/>
      <c r="B61" s="97"/>
      <c r="C61" s="8" t="s">
        <v>114</v>
      </c>
      <c r="D61" s="9"/>
    </row>
    <row r="62" spans="1:4" ht="15" customHeight="1">
      <c r="A62" s="267" t="s">
        <v>21</v>
      </c>
      <c r="B62" s="94" t="str">
        <f>CWAPE!D94</f>
        <v>K</v>
      </c>
      <c r="C62" s="2">
        <f>CWAPE!E94</f>
        <v>0</v>
      </c>
      <c r="D62" s="3" t="str">
        <f>CWAPE!F94</f>
        <v>km</v>
      </c>
    </row>
    <row r="63" spans="1:4" ht="15" customHeight="1">
      <c r="A63" s="268"/>
      <c r="B63" s="95" t="str">
        <f>CWAPE!D95</f>
        <v>H</v>
      </c>
      <c r="C63" s="4">
        <f>CWAPE!E95</f>
        <v>35.86</v>
      </c>
      <c r="D63" s="5" t="str">
        <f>CWAPE!F95</f>
        <v>MJ/litre, heating value fossil fuel</v>
      </c>
    </row>
    <row r="64" spans="1:4" ht="15" customHeight="1">
      <c r="A64" s="268"/>
      <c r="B64" s="95" t="str">
        <f>CWAPE!D96</f>
        <v>LTKM</v>
      </c>
      <c r="C64" s="4">
        <f>CWAPE!E96</f>
        <v>1.6E-2</v>
      </c>
      <c r="D64" s="5" t="str">
        <f>CWAPE!F96</f>
        <v>litre fuel /ton km</v>
      </c>
    </row>
    <row r="65" spans="1:4" ht="20.25">
      <c r="A65" s="268"/>
      <c r="B65" s="96" t="str">
        <f>CWAPE!D98</f>
        <v>PDT</v>
      </c>
      <c r="C65" s="6">
        <f>C62*C64*C63/3.6</f>
        <v>0</v>
      </c>
      <c r="D65" s="7" t="str">
        <f>CWAPE!F98</f>
        <v>kWhp/ton pellet</v>
      </c>
    </row>
    <row r="66" spans="1:4" ht="20.25">
      <c r="A66" s="269"/>
      <c r="B66" s="97"/>
      <c r="C66" s="8" t="s">
        <v>181</v>
      </c>
      <c r="D66" s="9"/>
    </row>
    <row r="67" spans="1:4" ht="15" customHeight="1">
      <c r="A67" s="267" t="s">
        <v>85</v>
      </c>
      <c r="B67" s="94" t="str">
        <f>CWAPE!D101</f>
        <v>K</v>
      </c>
      <c r="C67" s="2">
        <f>CWAPE!E101</f>
        <v>0</v>
      </c>
      <c r="D67" s="3" t="str">
        <f>CWAPE!F101</f>
        <v>km</v>
      </c>
    </row>
    <row r="68" spans="1:4" ht="15" customHeight="1">
      <c r="A68" s="268"/>
      <c r="B68" s="95" t="str">
        <f>CWAPE!D102</f>
        <v>KTKM</v>
      </c>
      <c r="C68" s="4">
        <f>CWAPE!E102</f>
        <v>0.03</v>
      </c>
      <c r="D68" s="5" t="str">
        <f>CWAPE!F102</f>
        <v>kWhe/tonkm</v>
      </c>
    </row>
    <row r="69" spans="1:4" ht="20.25">
      <c r="A69" s="268"/>
      <c r="B69" s="96" t="str">
        <f>CWAPE!D104</f>
        <v>PET</v>
      </c>
      <c r="C69" s="6">
        <f>C67*C68</f>
        <v>0</v>
      </c>
      <c r="D69" s="7" t="str">
        <f>CWAPE!F104</f>
        <v>kWhe/ton pellet</v>
      </c>
    </row>
    <row r="70" spans="1:4" ht="13.5" customHeight="1">
      <c r="A70" s="269"/>
      <c r="B70" s="97"/>
      <c r="C70" s="8" t="s">
        <v>180</v>
      </c>
      <c r="D70" s="9"/>
    </row>
    <row r="71" spans="1:4" ht="14.25" customHeight="1">
      <c r="A71" s="267" t="s">
        <v>26</v>
      </c>
      <c r="B71" s="94" t="str">
        <f>CWAPE!D107</f>
        <v>K</v>
      </c>
      <c r="C71" s="2">
        <f>CWAPE!E107</f>
        <v>0</v>
      </c>
      <c r="D71" s="3" t="str">
        <f>CWAPE!F107</f>
        <v>km</v>
      </c>
    </row>
    <row r="72" spans="1:4" ht="14.25" customHeight="1">
      <c r="A72" s="268"/>
      <c r="B72" s="95" t="str">
        <f>CWAPE!D108</f>
        <v>H</v>
      </c>
      <c r="C72" s="4">
        <f>CWAPE!E108</f>
        <v>35.86</v>
      </c>
      <c r="D72" s="5" t="str">
        <f>CWAPE!F108</f>
        <v>MJ/litre, heating value fossil fuel</v>
      </c>
    </row>
    <row r="73" spans="1:4" ht="14.25" customHeight="1">
      <c r="A73" s="268"/>
      <c r="B73" s="95" t="str">
        <f>CWAPE!D109</f>
        <v>LTKM</v>
      </c>
      <c r="C73" s="4">
        <f>CWAPE!E109</f>
        <v>4.8500000000000001E-3</v>
      </c>
      <c r="D73" s="5" t="str">
        <f>CWAPE!F109</f>
        <v>litre fuel /ton km</v>
      </c>
    </row>
    <row r="74" spans="1:4" ht="20.25">
      <c r="A74" s="268"/>
      <c r="B74" s="96" t="str">
        <f>CWAPE!D111</f>
        <v>PRB</v>
      </c>
      <c r="C74" s="6">
        <f>C71*C73*C72/3.6</f>
        <v>0</v>
      </c>
      <c r="D74" s="7" t="s">
        <v>44</v>
      </c>
    </row>
    <row r="75" spans="1:4" ht="14.25" customHeight="1">
      <c r="A75" s="269"/>
      <c r="B75" s="98"/>
      <c r="C75" s="8" t="s">
        <v>114</v>
      </c>
      <c r="D75" s="10"/>
    </row>
    <row r="76" spans="1:4" ht="24" customHeight="1">
      <c r="A76" s="103" t="s">
        <v>92</v>
      </c>
      <c r="B76" s="20"/>
      <c r="C76" s="20"/>
      <c r="D76" s="20"/>
    </row>
    <row r="77" spans="1:4" ht="14.25" customHeight="1">
      <c r="A77" s="267" t="s">
        <v>93</v>
      </c>
      <c r="B77" s="104" t="str">
        <f>CWAPE!D115</f>
        <v>S</v>
      </c>
      <c r="C77" s="2">
        <f>CWAPE!E115</f>
        <v>0</v>
      </c>
      <c r="D77" s="3" t="str">
        <f>CWAPE!F115</f>
        <v>number of sea miles</v>
      </c>
    </row>
    <row r="78" spans="1:4" ht="14.25" customHeight="1">
      <c r="A78" s="268"/>
      <c r="B78" s="105" t="str">
        <f>CWAPE!D116</f>
        <v>H</v>
      </c>
      <c r="C78" s="4" t="str">
        <f>CWAPE!E116</f>
        <v>LHV_fuel</v>
      </c>
      <c r="D78" s="5" t="str">
        <f>CWAPE!F116</f>
        <v>MJ/ton, heating value fuel</v>
      </c>
    </row>
    <row r="79" spans="1:4" ht="14.25" customHeight="1">
      <c r="A79" s="268"/>
      <c r="B79" s="105" t="str">
        <f>CWAPE!D117</f>
        <v>D</v>
      </c>
      <c r="C79" s="253">
        <f>CWAPE!E117</f>
        <v>0</v>
      </c>
      <c r="D79" s="5" t="str">
        <f>CWAPE!F117</f>
        <v>number of days at sea</v>
      </c>
    </row>
    <row r="80" spans="1:4" ht="14.25" customHeight="1">
      <c r="A80" s="268"/>
      <c r="B80" s="105" t="str">
        <f>CWAPE!D118</f>
        <v>L</v>
      </c>
      <c r="C80" s="4">
        <f>CWAPE!E118</f>
        <v>0</v>
      </c>
      <c r="D80" s="5" t="str">
        <f>CWAPE!F118</f>
        <v>ton of fuel per day</v>
      </c>
    </row>
    <row r="81" spans="1:5" ht="14.25" customHeight="1">
      <c r="A81" s="268"/>
      <c r="B81" s="105" t="str">
        <f>CWAPE!D119</f>
        <v>Q</v>
      </c>
      <c r="C81" s="4">
        <f>CWAPE!E119</f>
        <v>0</v>
      </c>
      <c r="D81" s="5" t="str">
        <f>CWAPE!F119</f>
        <v>tons of cargo load</v>
      </c>
    </row>
    <row r="82" spans="1:5" ht="20.25">
      <c r="A82" s="268"/>
      <c r="B82" s="96" t="str">
        <f>CWAPE!D121</f>
        <v>PI</v>
      </c>
      <c r="C82" s="6">
        <f>IF(C81=0,0,C80*C79*C78/3.6/C81)</f>
        <v>0</v>
      </c>
      <c r="D82" s="7" t="str">
        <f>CWAPE!F121</f>
        <v>kWhp/ton pellet</v>
      </c>
    </row>
    <row r="83" spans="1:5">
      <c r="A83" s="269"/>
      <c r="B83" s="106"/>
      <c r="C83" s="8" t="s">
        <v>122</v>
      </c>
      <c r="D83" s="10"/>
    </row>
    <row r="84" spans="1:5" ht="24" customHeight="1">
      <c r="A84" s="103" t="s">
        <v>101</v>
      </c>
      <c r="B84" s="20"/>
      <c r="C84" s="20"/>
      <c r="D84" s="20"/>
    </row>
    <row r="85" spans="1:5" ht="18.75" customHeight="1">
      <c r="A85" s="267" t="s">
        <v>123</v>
      </c>
      <c r="B85" s="104" t="s">
        <v>124</v>
      </c>
      <c r="C85" s="13">
        <f>SUBTOTAL(109,C38,C45,C49,C60,C65,C74,C82,C53)</f>
        <v>0</v>
      </c>
      <c r="D85" s="14" t="s">
        <v>44</v>
      </c>
      <c r="E85" s="146">
        <f>SUM(C38,C45,C49,C60,C65,C74,C82,C53)</f>
        <v>0</v>
      </c>
    </row>
    <row r="86" spans="1:5" ht="15.75" customHeight="1">
      <c r="A86" s="268"/>
      <c r="B86" s="96"/>
      <c r="C86" s="21" t="s">
        <v>125</v>
      </c>
      <c r="D86" s="7"/>
    </row>
    <row r="87" spans="1:5" ht="6" customHeight="1">
      <c r="A87" s="269"/>
      <c r="B87" s="98"/>
      <c r="C87" s="22"/>
      <c r="D87" s="10"/>
    </row>
    <row r="88" spans="1:5" ht="21" customHeight="1">
      <c r="A88" s="267" t="s">
        <v>126</v>
      </c>
      <c r="B88" s="104" t="s">
        <v>127</v>
      </c>
      <c r="C88" s="13">
        <f>SUBTOTAL(109,C41,C69)</f>
        <v>0</v>
      </c>
      <c r="D88" s="14" t="s">
        <v>39</v>
      </c>
      <c r="E88" s="146">
        <f>SUM(C69,C41)</f>
        <v>0</v>
      </c>
    </row>
    <row r="89" spans="1:5" ht="14.25" customHeight="1">
      <c r="A89" s="268"/>
      <c r="B89" s="96"/>
      <c r="C89" s="21" t="s">
        <v>128</v>
      </c>
      <c r="D89" s="7"/>
    </row>
    <row r="90" spans="1:5" ht="6.75" customHeight="1">
      <c r="A90" s="269"/>
      <c r="B90" s="98"/>
      <c r="C90" s="22"/>
      <c r="D90" s="10"/>
    </row>
    <row r="91" spans="1:5" ht="19.5" customHeight="1">
      <c r="A91" s="107" t="s">
        <v>102</v>
      </c>
      <c r="B91" s="104" t="s">
        <v>127</v>
      </c>
      <c r="C91" s="13">
        <f>C88+C85*0.55</f>
        <v>0</v>
      </c>
      <c r="D91" s="14" t="s">
        <v>39</v>
      </c>
    </row>
    <row r="92" spans="1:5" ht="19.5" customHeight="1">
      <c r="A92" s="268" t="s">
        <v>244</v>
      </c>
      <c r="B92" s="105"/>
      <c r="C92" s="21" t="s">
        <v>129</v>
      </c>
      <c r="D92" s="7"/>
    </row>
    <row r="93" spans="1:5" ht="11.25" customHeight="1">
      <c r="A93" s="269"/>
      <c r="B93" s="98"/>
      <c r="C93" s="22"/>
      <c r="D93" s="10"/>
    </row>
    <row r="94" spans="1:5" ht="15.75">
      <c r="A94" s="108"/>
      <c r="B94" s="109"/>
    </row>
    <row r="95" spans="1:5" ht="18.75" customHeight="1">
      <c r="A95" s="165" t="s">
        <v>110</v>
      </c>
      <c r="B95" s="275"/>
      <c r="C95" s="276"/>
      <c r="D95" s="166">
        <f ca="1">NOW()</f>
        <v>41548.717869791668</v>
      </c>
    </row>
    <row r="96" spans="1:5" ht="18.75" customHeight="1">
      <c r="A96" s="167" t="s">
        <v>111</v>
      </c>
      <c r="B96" s="277"/>
      <c r="C96" s="277"/>
      <c r="D96" s="277"/>
    </row>
    <row r="97" spans="1:4" ht="39" customHeight="1">
      <c r="A97" s="168" t="s">
        <v>112</v>
      </c>
      <c r="B97" s="273"/>
      <c r="C97" s="274"/>
      <c r="D97" s="274"/>
    </row>
    <row r="98" spans="1:4" ht="54" customHeight="1">
      <c r="A98" s="169" t="s">
        <v>113</v>
      </c>
      <c r="B98" s="273"/>
      <c r="C98" s="274"/>
      <c r="D98" s="274"/>
    </row>
    <row r="113" spans="1:2" ht="14.25" customHeight="1">
      <c r="A113" s="170"/>
      <c r="B113" s="171"/>
    </row>
  </sheetData>
  <mergeCells count="24">
    <mergeCell ref="B97:D98"/>
    <mergeCell ref="A88:A90"/>
    <mergeCell ref="A92:A93"/>
    <mergeCell ref="A67:A70"/>
    <mergeCell ref="A71:A75"/>
    <mergeCell ref="A77:A83"/>
    <mergeCell ref="A85:A87"/>
    <mergeCell ref="B95:C95"/>
    <mergeCell ref="B96:D96"/>
    <mergeCell ref="A62:A66"/>
    <mergeCell ref="A21:A25"/>
    <mergeCell ref="A32:A33"/>
    <mergeCell ref="A34:A37"/>
    <mergeCell ref="A38:A39"/>
    <mergeCell ref="A41:A42"/>
    <mergeCell ref="A56:A61"/>
    <mergeCell ref="A43:A54"/>
    <mergeCell ref="C1:C2"/>
    <mergeCell ref="C4:C5"/>
    <mergeCell ref="E27:E30"/>
    <mergeCell ref="A7:D7"/>
    <mergeCell ref="A10:A15"/>
    <mergeCell ref="A16:A20"/>
    <mergeCell ref="A27:A28"/>
  </mergeCells>
  <phoneticPr fontId="0" type="noConversion"/>
  <conditionalFormatting sqref="C85">
    <cfRule type="cellIs" dxfId="4" priority="1" stopIfTrue="1" operator="notEqual">
      <formula>$E$85</formula>
    </cfRule>
  </conditionalFormatting>
  <conditionalFormatting sqref="C88">
    <cfRule type="cellIs" dxfId="3" priority="2" stopIfTrue="1" operator="notEqual">
      <formula>$E$88</formula>
    </cfRule>
  </conditionalFormatting>
  <pageMargins left="0.75" right="0.75" top="1" bottom="1" header="0.5" footer="0.5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workbookViewId="0">
      <selection activeCell="A46" sqref="A46:C48"/>
    </sheetView>
  </sheetViews>
  <sheetFormatPr defaultRowHeight="12.75"/>
  <cols>
    <col min="1" max="1" width="38.7109375" style="195" customWidth="1"/>
    <col min="2" max="2" width="7.28515625" style="195" customWidth="1"/>
    <col min="3" max="3" width="18" style="30" customWidth="1"/>
    <col min="4" max="4" width="18.28515625" style="24" customWidth="1"/>
    <col min="5" max="5" width="13.28515625" style="29" customWidth="1"/>
    <col min="6" max="6" width="45.28515625" style="25" customWidth="1"/>
    <col min="7" max="7" width="2.7109375" style="26" customWidth="1"/>
    <col min="8" max="8" width="19" style="26" customWidth="1"/>
    <col min="9" max="9" width="9.140625" style="26"/>
    <col min="10" max="10" width="14" style="26" customWidth="1"/>
    <col min="11" max="11" width="16" style="26" customWidth="1"/>
    <col min="12" max="16384" width="9.140625" style="26"/>
  </cols>
  <sheetData>
    <row r="1" spans="1:9" ht="12.75" customHeight="1">
      <c r="A1" s="23" t="s">
        <v>0</v>
      </c>
      <c r="C1" s="87" t="s">
        <v>228</v>
      </c>
      <c r="D1" s="297" t="s">
        <v>230</v>
      </c>
    </row>
    <row r="2" spans="1:9" ht="12.75" customHeight="1">
      <c r="A2" s="27" t="s">
        <v>1</v>
      </c>
      <c r="C2" s="251"/>
      <c r="D2" s="297"/>
    </row>
    <row r="3" spans="1:9" ht="12.75" customHeight="1">
      <c r="A3" s="27" t="s">
        <v>2</v>
      </c>
      <c r="C3" s="87"/>
      <c r="D3" s="87"/>
    </row>
    <row r="4" spans="1:9" ht="12.75" customHeight="1">
      <c r="A4" s="27" t="s">
        <v>241</v>
      </c>
      <c r="C4" s="87" t="s">
        <v>229</v>
      </c>
      <c r="D4" s="298" t="s">
        <v>231</v>
      </c>
    </row>
    <row r="5" spans="1:9" ht="12.75" customHeight="1">
      <c r="A5" s="28" t="s">
        <v>3</v>
      </c>
      <c r="C5" s="84"/>
      <c r="D5" s="298"/>
    </row>
    <row r="6" spans="1:9" ht="14.25">
      <c r="E6" s="31"/>
    </row>
    <row r="7" spans="1:9" ht="20.25">
      <c r="A7" s="301" t="s">
        <v>232</v>
      </c>
      <c r="B7" s="301"/>
      <c r="C7" s="301"/>
      <c r="D7" s="301"/>
      <c r="E7" s="301"/>
      <c r="F7" s="301"/>
    </row>
    <row r="8" spans="1:9" ht="14.25" customHeight="1">
      <c r="C8" s="32"/>
      <c r="D8" s="33"/>
      <c r="E8" s="33"/>
      <c r="F8" s="33"/>
    </row>
    <row r="9" spans="1:9" ht="15.75" customHeight="1">
      <c r="A9" s="196" t="s">
        <v>163</v>
      </c>
      <c r="D9" s="34"/>
      <c r="E9" s="35"/>
      <c r="F9" s="36"/>
    </row>
    <row r="10" spans="1:9" ht="17.25" customHeight="1">
      <c r="A10" s="288" t="s">
        <v>133</v>
      </c>
      <c r="B10" s="289"/>
      <c r="C10" s="290"/>
      <c r="D10" s="225" t="s">
        <v>183</v>
      </c>
      <c r="E10" s="206"/>
      <c r="F10" s="207"/>
    </row>
    <row r="11" spans="1:9" ht="14.25" customHeight="1">
      <c r="A11" s="288" t="s">
        <v>164</v>
      </c>
      <c r="B11" s="289"/>
      <c r="C11" s="290"/>
      <c r="D11" s="204" t="s">
        <v>141</v>
      </c>
      <c r="E11" s="227">
        <v>0.5</v>
      </c>
      <c r="F11" s="121" t="s">
        <v>145</v>
      </c>
    </row>
    <row r="12" spans="1:9" ht="14.25" customHeight="1">
      <c r="A12" s="203"/>
      <c r="B12" s="223"/>
      <c r="C12" s="226" t="s">
        <v>184</v>
      </c>
      <c r="D12" s="204" t="s">
        <v>142</v>
      </c>
      <c r="E12" s="133">
        <f>E11/(1-E11)</f>
        <v>1</v>
      </c>
      <c r="F12" s="121" t="s">
        <v>54</v>
      </c>
    </row>
    <row r="13" spans="1:9" ht="14.25" customHeight="1">
      <c r="A13" s="219"/>
      <c r="B13" s="224"/>
      <c r="C13" s="222"/>
      <c r="D13" s="191" t="s">
        <v>143</v>
      </c>
      <c r="E13" s="227">
        <v>0.09</v>
      </c>
      <c r="F13" s="121" t="s">
        <v>146</v>
      </c>
    </row>
    <row r="14" spans="1:9" ht="14.25" customHeight="1">
      <c r="A14" s="219"/>
      <c r="B14" s="220"/>
      <c r="C14" s="221"/>
      <c r="D14" s="205" t="s">
        <v>144</v>
      </c>
      <c r="E14" s="134">
        <f>E13/(1-E13)</f>
        <v>9.8901098901098897E-2</v>
      </c>
      <c r="F14" s="122" t="s">
        <v>56</v>
      </c>
    </row>
    <row r="15" spans="1:9" ht="17.25" customHeight="1">
      <c r="A15" s="215" t="s">
        <v>177</v>
      </c>
      <c r="B15" s="230">
        <v>0</v>
      </c>
      <c r="C15" s="216" t="s">
        <v>176</v>
      </c>
      <c r="D15" s="214" t="s">
        <v>159</v>
      </c>
      <c r="E15" s="179">
        <f>B15*H17+H16*B16</f>
        <v>0</v>
      </c>
      <c r="F15" s="177" t="s">
        <v>155</v>
      </c>
      <c r="H15" s="57" t="s">
        <v>154</v>
      </c>
    </row>
    <row r="16" spans="1:9" ht="17.25" customHeight="1">
      <c r="A16" s="217" t="s">
        <v>178</v>
      </c>
      <c r="B16" s="231">
        <v>0</v>
      </c>
      <c r="C16" s="218" t="s">
        <v>176</v>
      </c>
      <c r="D16" s="204" t="s">
        <v>179</v>
      </c>
      <c r="E16" s="178">
        <f>(18600*(1-E11)-E11*2512)/3.6</f>
        <v>2234.4444444444443</v>
      </c>
      <c r="F16" s="41" t="s">
        <v>156</v>
      </c>
      <c r="H16" s="57">
        <v>6.4999999999999997E-3</v>
      </c>
      <c r="I16" s="57" t="s">
        <v>174</v>
      </c>
    </row>
    <row r="17" spans="1:11" ht="21.75" customHeight="1">
      <c r="A17" s="211"/>
      <c r="B17" s="212"/>
      <c r="C17" s="213"/>
      <c r="D17" s="205" t="s">
        <v>158</v>
      </c>
      <c r="E17" s="18">
        <f>E16*E15</f>
        <v>0</v>
      </c>
      <c r="F17" s="47" t="s">
        <v>20</v>
      </c>
      <c r="H17" s="57">
        <v>3.5000000000000001E-3</v>
      </c>
      <c r="I17" s="57" t="s">
        <v>157</v>
      </c>
    </row>
    <row r="18" spans="1:11" ht="24.75" customHeight="1">
      <c r="A18" s="196" t="s">
        <v>4</v>
      </c>
      <c r="D18" s="34"/>
      <c r="E18" s="35"/>
      <c r="F18" s="36"/>
    </row>
    <row r="19" spans="1:11" ht="15" customHeight="1">
      <c r="A19" s="288" t="s">
        <v>5</v>
      </c>
      <c r="B19" s="289"/>
      <c r="C19" s="290"/>
      <c r="D19" s="37" t="s">
        <v>6</v>
      </c>
      <c r="E19" s="123">
        <v>0</v>
      </c>
      <c r="F19" s="38" t="s">
        <v>7</v>
      </c>
    </row>
    <row r="20" spans="1:11" ht="15" customHeight="1">
      <c r="A20" s="291"/>
      <c r="B20" s="292"/>
      <c r="C20" s="293"/>
      <c r="D20" s="39" t="s">
        <v>8</v>
      </c>
      <c r="E20" s="40">
        <v>35.86</v>
      </c>
      <c r="F20" s="41" t="s">
        <v>9</v>
      </c>
    </row>
    <row r="21" spans="1:11" ht="15" customHeight="1">
      <c r="A21" s="291"/>
      <c r="B21" s="292"/>
      <c r="C21" s="293"/>
      <c r="D21" s="39" t="s">
        <v>10</v>
      </c>
      <c r="E21" s="73">
        <f>IF(E22&gt;37.5,50,IF(E22&gt;32.5,47,IF(E22&gt;27.5,44,IF(E22&gt;22.5,41,IF(E22&gt;17.5,38,IF(E22&gt;12.5,35,30))))))</f>
        <v>30</v>
      </c>
      <c r="F21" s="41" t="s">
        <v>140</v>
      </c>
    </row>
    <row r="22" spans="1:11" ht="15" customHeight="1">
      <c r="A22" s="291"/>
      <c r="B22" s="292"/>
      <c r="C22" s="293"/>
      <c r="D22" s="39" t="s">
        <v>11</v>
      </c>
      <c r="E22" s="42">
        <v>0</v>
      </c>
      <c r="F22" s="41" t="s">
        <v>12</v>
      </c>
    </row>
    <row r="23" spans="1:11" ht="15" customHeight="1">
      <c r="A23" s="291"/>
      <c r="B23" s="292"/>
      <c r="C23" s="293"/>
      <c r="D23" s="72" t="s">
        <v>13</v>
      </c>
      <c r="E23" s="73">
        <v>0.5</v>
      </c>
      <c r="F23" s="74" t="s">
        <v>14</v>
      </c>
    </row>
    <row r="24" spans="1:11" ht="15" customHeight="1">
      <c r="A24" s="291"/>
      <c r="B24" s="292"/>
      <c r="C24" s="293"/>
      <c r="D24" s="39" t="s">
        <v>15</v>
      </c>
      <c r="E24" s="113">
        <f>IF(E22=0,0,E21*E20*E19/3.6/100/E22/E23)</f>
        <v>0</v>
      </c>
      <c r="F24" s="41" t="s">
        <v>16</v>
      </c>
    </row>
    <row r="25" spans="1:11" ht="15.75" customHeight="1">
      <c r="A25" s="291"/>
      <c r="B25" s="292"/>
      <c r="C25" s="293"/>
      <c r="D25" s="43" t="s">
        <v>17</v>
      </c>
      <c r="E25" s="114">
        <v>0.30599999999999999</v>
      </c>
      <c r="F25" s="45" t="s">
        <v>18</v>
      </c>
    </row>
    <row r="26" spans="1:11" ht="20.25" customHeight="1">
      <c r="A26" s="294"/>
      <c r="B26" s="295"/>
      <c r="C26" s="296"/>
      <c r="D26" s="46" t="s">
        <v>19</v>
      </c>
      <c r="E26" s="18">
        <f>E24*E25</f>
        <v>0</v>
      </c>
      <c r="F26" s="47" t="s">
        <v>20</v>
      </c>
    </row>
    <row r="27" spans="1:11" ht="15" customHeight="1">
      <c r="A27" s="279" t="s">
        <v>21</v>
      </c>
      <c r="B27" s="279"/>
      <c r="C27" s="279"/>
      <c r="D27" s="37" t="s">
        <v>6</v>
      </c>
      <c r="E27" s="123">
        <v>0</v>
      </c>
      <c r="F27" s="38" t="s">
        <v>7</v>
      </c>
    </row>
    <row r="28" spans="1:11" ht="15" customHeight="1">
      <c r="A28" s="279"/>
      <c r="B28" s="279"/>
      <c r="C28" s="279"/>
      <c r="D28" s="39" t="s">
        <v>8</v>
      </c>
      <c r="E28" s="40">
        <f>E20</f>
        <v>35.86</v>
      </c>
      <c r="F28" s="41" t="s">
        <v>9</v>
      </c>
    </row>
    <row r="29" spans="1:11" ht="15" customHeight="1">
      <c r="A29" s="279"/>
      <c r="B29" s="279"/>
      <c r="C29" s="279"/>
      <c r="D29" s="39" t="s">
        <v>22</v>
      </c>
      <c r="E29" s="42">
        <v>1.6E-2</v>
      </c>
      <c r="F29" s="41" t="s">
        <v>23</v>
      </c>
      <c r="H29" s="116" t="s">
        <v>198</v>
      </c>
      <c r="I29" s="237">
        <v>1.6E-2</v>
      </c>
      <c r="J29" s="117" t="s">
        <v>138</v>
      </c>
      <c r="K29" s="116" t="s">
        <v>165</v>
      </c>
    </row>
    <row r="30" spans="1:11" ht="15" customHeight="1">
      <c r="A30" s="279"/>
      <c r="B30" s="279"/>
      <c r="C30" s="279"/>
      <c r="D30" s="72" t="s">
        <v>13</v>
      </c>
      <c r="E30" s="73">
        <v>1</v>
      </c>
      <c r="F30" s="74" t="s">
        <v>14</v>
      </c>
      <c r="H30" s="116" t="s">
        <v>197</v>
      </c>
      <c r="I30" s="236">
        <v>5.7299999999999999E-3</v>
      </c>
      <c r="J30" s="117" t="s">
        <v>138</v>
      </c>
      <c r="K30" s="118"/>
    </row>
    <row r="31" spans="1:11" ht="15" customHeight="1">
      <c r="A31" s="279"/>
      <c r="B31" s="279"/>
      <c r="C31" s="279"/>
      <c r="D31" s="39" t="s">
        <v>24</v>
      </c>
      <c r="E31" s="113">
        <f>E27*E29*E28/E30/3.6</f>
        <v>0</v>
      </c>
      <c r="F31" s="41" t="s">
        <v>16</v>
      </c>
      <c r="H31" s="116" t="s">
        <v>196</v>
      </c>
      <c r="I31" s="236">
        <v>5.6800000000000002E-3</v>
      </c>
      <c r="J31" s="117" t="s">
        <v>138</v>
      </c>
      <c r="K31" s="117"/>
    </row>
    <row r="32" spans="1:11" ht="16.5" customHeight="1">
      <c r="A32" s="279"/>
      <c r="B32" s="279"/>
      <c r="C32" s="279"/>
      <c r="D32" s="43" t="s">
        <v>17</v>
      </c>
      <c r="E32" s="114">
        <v>0.30599999999999999</v>
      </c>
      <c r="F32" s="45" t="s">
        <v>18</v>
      </c>
      <c r="H32" s="119"/>
      <c r="I32" s="117"/>
      <c r="J32" s="117"/>
      <c r="K32" s="116"/>
    </row>
    <row r="33" spans="1:11" ht="20.25" customHeight="1">
      <c r="A33" s="279"/>
      <c r="B33" s="279"/>
      <c r="C33" s="279"/>
      <c r="D33" s="46" t="s">
        <v>25</v>
      </c>
      <c r="E33" s="18">
        <f>E31*E32</f>
        <v>0</v>
      </c>
      <c r="F33" s="47" t="s">
        <v>20</v>
      </c>
      <c r="H33" s="119"/>
      <c r="I33" s="120"/>
      <c r="J33" s="120"/>
    </row>
    <row r="34" spans="1:11" ht="14.25" customHeight="1">
      <c r="A34" s="279" t="s">
        <v>26</v>
      </c>
      <c r="B34" s="279"/>
      <c r="C34" s="279"/>
      <c r="D34" s="70" t="s">
        <v>6</v>
      </c>
      <c r="E34" s="123">
        <v>0</v>
      </c>
      <c r="F34" s="71" t="s">
        <v>7</v>
      </c>
      <c r="I34" s="1"/>
    </row>
    <row r="35" spans="1:11" ht="14.25" customHeight="1">
      <c r="A35" s="279"/>
      <c r="B35" s="279"/>
      <c r="C35" s="279"/>
      <c r="D35" s="72" t="s">
        <v>8</v>
      </c>
      <c r="E35" s="40">
        <v>35.86</v>
      </c>
      <c r="F35" s="74" t="s">
        <v>9</v>
      </c>
      <c r="H35" s="1"/>
      <c r="I35" s="1"/>
    </row>
    <row r="36" spans="1:11" ht="14.25" customHeight="1">
      <c r="A36" s="279"/>
      <c r="B36" s="279"/>
      <c r="C36" s="279"/>
      <c r="D36" s="72" t="s">
        <v>22</v>
      </c>
      <c r="E36" s="73">
        <v>4.8500000000000001E-3</v>
      </c>
      <c r="F36" s="74" t="s">
        <v>182</v>
      </c>
      <c r="H36" s="1"/>
      <c r="I36" s="1"/>
    </row>
    <row r="37" spans="1:11" ht="14.25" customHeight="1">
      <c r="A37" s="279"/>
      <c r="B37" s="279"/>
      <c r="C37" s="279"/>
      <c r="D37" s="72" t="s">
        <v>13</v>
      </c>
      <c r="E37" s="73">
        <v>0.7</v>
      </c>
      <c r="F37" s="74" t="s">
        <v>14</v>
      </c>
      <c r="H37" s="1"/>
      <c r="I37" s="1"/>
    </row>
    <row r="38" spans="1:11" ht="15" customHeight="1">
      <c r="A38" s="279"/>
      <c r="B38" s="279"/>
      <c r="C38" s="279"/>
      <c r="D38" s="39" t="s">
        <v>27</v>
      </c>
      <c r="E38" s="113">
        <f>E34*E36*E35/E37/3.6</f>
        <v>0</v>
      </c>
      <c r="F38" s="41" t="s">
        <v>16</v>
      </c>
      <c r="H38" s="1"/>
      <c r="I38" s="1"/>
    </row>
    <row r="39" spans="1:11" ht="14.25" customHeight="1">
      <c r="A39" s="279"/>
      <c r="B39" s="279"/>
      <c r="C39" s="279"/>
      <c r="D39" s="43" t="s">
        <v>17</v>
      </c>
      <c r="E39" s="48">
        <v>0.31</v>
      </c>
      <c r="F39" s="45" t="s">
        <v>99</v>
      </c>
      <c r="H39" s="1"/>
      <c r="I39" s="1"/>
    </row>
    <row r="40" spans="1:11" ht="19.5" customHeight="1">
      <c r="A40" s="279"/>
      <c r="B40" s="279"/>
      <c r="C40" s="279"/>
      <c r="D40" s="46" t="s">
        <v>28</v>
      </c>
      <c r="E40" s="18">
        <f>E38*E39</f>
        <v>0</v>
      </c>
      <c r="F40" s="47" t="s">
        <v>20</v>
      </c>
      <c r="H40" s="1"/>
      <c r="I40" s="1"/>
    </row>
    <row r="41" spans="1:11" ht="27.75" customHeight="1">
      <c r="A41" s="196" t="s">
        <v>29</v>
      </c>
      <c r="D41" s="49"/>
      <c r="E41" s="50"/>
      <c r="F41" s="36"/>
      <c r="H41" s="1"/>
      <c r="I41" s="1"/>
    </row>
    <row r="42" spans="1:11" ht="26.25" customHeight="1">
      <c r="A42" s="279" t="s">
        <v>167</v>
      </c>
      <c r="B42" s="279"/>
      <c r="C42" s="279"/>
      <c r="D42" s="51" t="s">
        <v>30</v>
      </c>
      <c r="E42" s="13">
        <f>SUM(E40,E33,E26,E17)</f>
        <v>0</v>
      </c>
      <c r="F42" s="52" t="s">
        <v>20</v>
      </c>
    </row>
    <row r="43" spans="1:11" s="25" customFormat="1" ht="22.5" customHeight="1">
      <c r="A43" s="278" t="s">
        <v>31</v>
      </c>
      <c r="B43" s="278"/>
      <c r="C43" s="278"/>
      <c r="D43" s="53" t="s">
        <v>32</v>
      </c>
      <c r="E43" s="135">
        <f>(1+E14)/(1+E12)</f>
        <v>0.5494505494505495</v>
      </c>
      <c r="F43" s="54" t="s">
        <v>33</v>
      </c>
    </row>
    <row r="44" spans="1:11" ht="22.5" customHeight="1">
      <c r="A44" s="279" t="s">
        <v>166</v>
      </c>
      <c r="B44" s="279"/>
      <c r="C44" s="279"/>
      <c r="D44" s="183" t="s">
        <v>34</v>
      </c>
      <c r="E44" s="184">
        <f>E42/E43</f>
        <v>0</v>
      </c>
      <c r="F44" s="185" t="s">
        <v>35</v>
      </c>
    </row>
    <row r="45" spans="1:11" ht="27.75" customHeight="1">
      <c r="A45" s="196" t="s">
        <v>36</v>
      </c>
      <c r="C45" s="195"/>
      <c r="D45" s="55"/>
      <c r="E45" s="56"/>
      <c r="F45" s="36"/>
    </row>
    <row r="46" spans="1:11" ht="14.25" customHeight="1">
      <c r="A46" s="279" t="s">
        <v>37</v>
      </c>
      <c r="B46" s="279"/>
      <c r="C46" s="279"/>
      <c r="D46" s="37" t="s">
        <v>38</v>
      </c>
      <c r="E46" s="124">
        <v>0</v>
      </c>
      <c r="F46" s="38" t="s">
        <v>39</v>
      </c>
    </row>
    <row r="47" spans="1:11" ht="14.25" customHeight="1">
      <c r="A47" s="279"/>
      <c r="B47" s="279"/>
      <c r="C47" s="279"/>
      <c r="D47" s="43" t="s">
        <v>17</v>
      </c>
      <c r="E47" s="44">
        <v>0.45600000000000002</v>
      </c>
      <c r="F47" s="45" t="s">
        <v>40</v>
      </c>
    </row>
    <row r="48" spans="1:11" ht="21" customHeight="1">
      <c r="A48" s="279"/>
      <c r="B48" s="279"/>
      <c r="C48" s="279"/>
      <c r="D48" s="46" t="s">
        <v>41</v>
      </c>
      <c r="E48" s="18">
        <f>E46*E47</f>
        <v>0</v>
      </c>
      <c r="F48" s="47" t="s">
        <v>35</v>
      </c>
      <c r="H48" s="57" t="s">
        <v>214</v>
      </c>
      <c r="I48" s="57" t="s">
        <v>105</v>
      </c>
      <c r="J48" s="57"/>
      <c r="K48" s="173" t="s">
        <v>215</v>
      </c>
    </row>
    <row r="49" spans="1:19" ht="14.25" customHeight="1">
      <c r="A49" s="288" t="s">
        <v>42</v>
      </c>
      <c r="B49" s="289"/>
      <c r="C49" s="290"/>
      <c r="D49" s="174" t="s">
        <v>153</v>
      </c>
      <c r="E49" s="13"/>
      <c r="F49" s="52"/>
      <c r="H49" s="57" t="s">
        <v>220</v>
      </c>
      <c r="I49" s="57">
        <f>10.421*3.6</f>
        <v>37.515599999999999</v>
      </c>
      <c r="J49" s="57" t="s">
        <v>222</v>
      </c>
      <c r="K49" s="244">
        <v>0.251</v>
      </c>
      <c r="L49" s="249" t="s">
        <v>223</v>
      </c>
    </row>
    <row r="50" spans="1:19" ht="13.5" customHeight="1">
      <c r="A50" s="291"/>
      <c r="B50" s="292"/>
      <c r="C50" s="293"/>
      <c r="D50" s="156" t="s">
        <v>150</v>
      </c>
      <c r="E50" s="180"/>
      <c r="F50" s="157" t="s">
        <v>151</v>
      </c>
      <c r="H50" s="57" t="s">
        <v>46</v>
      </c>
      <c r="I50" s="57">
        <f>E20</f>
        <v>35.86</v>
      </c>
      <c r="J50" s="57" t="str">
        <f>J57</f>
        <v>MJ/litre</v>
      </c>
      <c r="K50" s="244">
        <v>0.30599999999999999</v>
      </c>
      <c r="L50" s="249" t="s">
        <v>224</v>
      </c>
    </row>
    <row r="51" spans="1:19" ht="13.5" customHeight="1">
      <c r="A51" s="291"/>
      <c r="B51" s="292"/>
      <c r="C51" s="293"/>
      <c r="D51" s="156" t="s">
        <v>105</v>
      </c>
      <c r="E51" s="180"/>
      <c r="F51" s="157" t="s">
        <v>151</v>
      </c>
      <c r="H51" s="58" t="s">
        <v>219</v>
      </c>
      <c r="I51" s="57">
        <f>I116</f>
        <v>40500</v>
      </c>
      <c r="J51" s="57" t="s">
        <v>173</v>
      </c>
      <c r="K51" s="245">
        <v>0.31</v>
      </c>
      <c r="L51" s="249" t="s">
        <v>225</v>
      </c>
    </row>
    <row r="52" spans="1:19" ht="13.5" customHeight="1">
      <c r="A52" s="291"/>
      <c r="B52" s="292"/>
      <c r="C52" s="293"/>
      <c r="D52" s="156" t="s">
        <v>43</v>
      </c>
      <c r="E52" s="158">
        <f>IF(AND(F50=H$57,F51=J$57),E50*E51/3.6,IF(AND(F50=H$58,F51=J$58),E50*E51/3.6,IF(AND(F50=H$59,F51=J$59),E50*E51/3.6,IF(AND(F50=H$60,F51=J$60),E50*E51,IF(AND(E50="",E51=""),0,"!")))))</f>
        <v>0</v>
      </c>
      <c r="F52" s="41" t="s">
        <v>44</v>
      </c>
      <c r="H52" s="58" t="s">
        <v>130</v>
      </c>
      <c r="I52" s="246">
        <v>45.8</v>
      </c>
      <c r="J52" s="246" t="s">
        <v>218</v>
      </c>
      <c r="K52" s="245">
        <v>0.26700000000000002</v>
      </c>
      <c r="L52" s="250" t="s">
        <v>226</v>
      </c>
    </row>
    <row r="53" spans="1:19" ht="13.5" customHeight="1">
      <c r="A53" s="291"/>
      <c r="B53" s="292"/>
      <c r="C53" s="293"/>
      <c r="D53" s="43" t="s">
        <v>17</v>
      </c>
      <c r="E53" s="69"/>
      <c r="F53" s="45" t="s">
        <v>45</v>
      </c>
      <c r="H53" s="58" t="s">
        <v>130</v>
      </c>
      <c r="I53" s="58">
        <v>87.477999999999994</v>
      </c>
      <c r="J53" s="58" t="s">
        <v>172</v>
      </c>
      <c r="K53" s="245">
        <v>0.26700000000000002</v>
      </c>
      <c r="L53" s="248" t="s">
        <v>227</v>
      </c>
    </row>
    <row r="54" spans="1:19" ht="21.75" customHeight="1">
      <c r="A54" s="291"/>
      <c r="B54" s="292"/>
      <c r="C54" s="293"/>
      <c r="D54" s="59" t="s">
        <v>47</v>
      </c>
      <c r="E54" s="18">
        <f>E52*E53</f>
        <v>0</v>
      </c>
      <c r="F54" s="47" t="s">
        <v>35</v>
      </c>
      <c r="H54" s="58" t="s">
        <v>130</v>
      </c>
      <c r="I54" s="261">
        <f>I52*L54/1000</f>
        <v>26.6556</v>
      </c>
      <c r="J54" s="58" t="s">
        <v>171</v>
      </c>
      <c r="K54" s="257">
        <f>K53</f>
        <v>0.26700000000000002</v>
      </c>
      <c r="L54" s="258">
        <v>582</v>
      </c>
      <c r="M54" s="260" t="s">
        <v>243</v>
      </c>
      <c r="N54" s="259" t="s">
        <v>242</v>
      </c>
      <c r="O54" s="258"/>
      <c r="P54" s="258"/>
      <c r="Q54" s="249"/>
      <c r="R54" s="249"/>
      <c r="S54" s="249"/>
    </row>
    <row r="55" spans="1:19" ht="15" customHeight="1">
      <c r="A55" s="291"/>
      <c r="B55" s="292"/>
      <c r="C55" s="293"/>
      <c r="D55" s="174" t="s">
        <v>153</v>
      </c>
      <c r="E55" s="13"/>
      <c r="F55" s="52"/>
      <c r="H55" s="58" t="s">
        <v>221</v>
      </c>
    </row>
    <row r="56" spans="1:19" ht="12.75" customHeight="1">
      <c r="A56" s="291"/>
      <c r="B56" s="292"/>
      <c r="C56" s="293"/>
      <c r="D56" s="156" t="s">
        <v>150</v>
      </c>
      <c r="E56" s="180"/>
      <c r="F56" s="157" t="s">
        <v>151</v>
      </c>
      <c r="H56" s="26" t="s">
        <v>151</v>
      </c>
      <c r="J56" s="26" t="s">
        <v>151</v>
      </c>
    </row>
    <row r="57" spans="1:19" ht="12.75" customHeight="1">
      <c r="A57" s="291"/>
      <c r="B57" s="292"/>
      <c r="C57" s="293"/>
      <c r="D57" s="156" t="s">
        <v>105</v>
      </c>
      <c r="E57" s="180"/>
      <c r="F57" s="157" t="s">
        <v>151</v>
      </c>
      <c r="H57" s="61" t="s">
        <v>160</v>
      </c>
      <c r="J57" s="26" t="s">
        <v>171</v>
      </c>
    </row>
    <row r="58" spans="1:19" ht="12.75" customHeight="1">
      <c r="A58" s="291"/>
      <c r="B58" s="292"/>
      <c r="C58" s="293"/>
      <c r="D58" s="156" t="s">
        <v>195</v>
      </c>
      <c r="E58" s="158">
        <f>IF(AND(F56=H$57,F57=J$57),E56*E57/3.6,IF(AND(F56=H$58,F57=J$58),E56*E57/3.6,IF(AND(F56=H$59,F57=J$59),E56*E57/3.6,IF(AND(F56=H$60,F57=J$60),E56*E57,IF(AND(E56="",E57=""),0,"!")))))</f>
        <v>0</v>
      </c>
      <c r="F58" s="41" t="s">
        <v>44</v>
      </c>
      <c r="H58" s="61" t="s">
        <v>161</v>
      </c>
      <c r="J58" s="26" t="s">
        <v>172</v>
      </c>
    </row>
    <row r="59" spans="1:19" ht="12.75" customHeight="1">
      <c r="A59" s="291"/>
      <c r="B59" s="292"/>
      <c r="C59" s="293"/>
      <c r="D59" s="43" t="s">
        <v>17</v>
      </c>
      <c r="E59" s="69"/>
      <c r="F59" s="45" t="s">
        <v>48</v>
      </c>
      <c r="H59" s="61" t="s">
        <v>162</v>
      </c>
      <c r="J59" s="26" t="s">
        <v>173</v>
      </c>
    </row>
    <row r="60" spans="1:19" ht="21.75" customHeight="1">
      <c r="A60" s="291"/>
      <c r="B60" s="292"/>
      <c r="C60" s="293"/>
      <c r="D60" s="59" t="s">
        <v>49</v>
      </c>
      <c r="E60" s="18">
        <f>E58*E59</f>
        <v>0</v>
      </c>
      <c r="F60" s="47" t="s">
        <v>35</v>
      </c>
      <c r="H60" s="247" t="s">
        <v>216</v>
      </c>
      <c r="I60" s="247"/>
      <c r="J60" s="247" t="s">
        <v>217</v>
      </c>
    </row>
    <row r="61" spans="1:19" ht="15" customHeight="1">
      <c r="A61" s="291"/>
      <c r="B61" s="292"/>
      <c r="C61" s="293"/>
      <c r="D61" s="174" t="s">
        <v>153</v>
      </c>
      <c r="E61" s="13"/>
      <c r="F61" s="52"/>
    </row>
    <row r="62" spans="1:19" ht="12.75" customHeight="1">
      <c r="A62" s="291"/>
      <c r="B62" s="292"/>
      <c r="C62" s="293"/>
      <c r="D62" s="156" t="s">
        <v>150</v>
      </c>
      <c r="E62" s="180"/>
      <c r="F62" s="157" t="s">
        <v>151</v>
      </c>
    </row>
    <row r="63" spans="1:19" ht="12.75" customHeight="1">
      <c r="A63" s="291"/>
      <c r="B63" s="292"/>
      <c r="C63" s="293"/>
      <c r="D63" s="156" t="s">
        <v>105</v>
      </c>
      <c r="E63" s="180"/>
      <c r="F63" s="157" t="s">
        <v>151</v>
      </c>
      <c r="H63" s="172"/>
    </row>
    <row r="64" spans="1:19" ht="12.75" customHeight="1">
      <c r="A64" s="291"/>
      <c r="B64" s="292"/>
      <c r="C64" s="293"/>
      <c r="D64" s="156" t="s">
        <v>194</v>
      </c>
      <c r="E64" s="158">
        <f>IF(AND(F62=H$57,F63=J$57),E62*E63/3.6,IF(AND(F62=H$58,F63=J$58),E62*E63/3.6,IF(AND(F62=H$59,F63=J$59),E62*E63/3.6,IF(AND(F62=H$60,F63=J$60),E62*E63,IF(AND(E62="",E63=""),0,"!")))))</f>
        <v>0</v>
      </c>
      <c r="F64" s="41" t="s">
        <v>44</v>
      </c>
    </row>
    <row r="65" spans="1:11" ht="12.75" customHeight="1">
      <c r="A65" s="291"/>
      <c r="B65" s="292"/>
      <c r="C65" s="293"/>
      <c r="D65" s="43" t="s">
        <v>17</v>
      </c>
      <c r="E65" s="69"/>
      <c r="F65" s="45" t="s">
        <v>48</v>
      </c>
      <c r="I65" s="60"/>
      <c r="J65" s="61"/>
    </row>
    <row r="66" spans="1:11" ht="21.75" customHeight="1">
      <c r="A66" s="294"/>
      <c r="B66" s="295"/>
      <c r="C66" s="296"/>
      <c r="D66" s="59" t="s">
        <v>193</v>
      </c>
      <c r="E66" s="18">
        <f>E64*E65</f>
        <v>0</v>
      </c>
      <c r="F66" s="47" t="s">
        <v>35</v>
      </c>
      <c r="I66" s="60"/>
    </row>
    <row r="67" spans="1:11" ht="14.25" customHeight="1">
      <c r="A67" s="309" t="s">
        <v>192</v>
      </c>
      <c r="B67" s="310"/>
      <c r="C67" s="311"/>
      <c r="D67" s="186" t="s">
        <v>38</v>
      </c>
      <c r="E67" s="136">
        <f>(E12-E14)/(1+E14)*2.512*1000/3.6</f>
        <v>572.17777777777769</v>
      </c>
      <c r="F67" s="74" t="s">
        <v>58</v>
      </c>
    </row>
    <row r="68" spans="1:11" ht="14.25" customHeight="1">
      <c r="A68" s="280"/>
      <c r="B68" s="281"/>
      <c r="C68" s="282"/>
      <c r="D68" s="186" t="s">
        <v>59</v>
      </c>
      <c r="E68" s="125">
        <v>0.57999999999999996</v>
      </c>
      <c r="F68" s="74" t="s">
        <v>50</v>
      </c>
      <c r="H68" s="62" t="s">
        <v>52</v>
      </c>
      <c r="I68" s="64">
        <v>0.81</v>
      </c>
      <c r="J68" s="62" t="s">
        <v>53</v>
      </c>
    </row>
    <row r="69" spans="1:11" ht="14.25" customHeight="1">
      <c r="A69" s="280"/>
      <c r="B69" s="281"/>
      <c r="C69" s="282"/>
      <c r="D69" s="187" t="s">
        <v>62</v>
      </c>
      <c r="E69" s="136">
        <f>E67/E68</f>
        <v>986.51340996168574</v>
      </c>
      <c r="F69" s="74" t="s">
        <v>199</v>
      </c>
      <c r="H69" s="62"/>
      <c r="I69" s="64">
        <v>0.86</v>
      </c>
      <c r="J69" s="62" t="s">
        <v>55</v>
      </c>
      <c r="K69" s="62"/>
    </row>
    <row r="70" spans="1:11" ht="14.25" customHeight="1">
      <c r="A70" s="280"/>
      <c r="B70" s="281"/>
      <c r="C70" s="282"/>
      <c r="D70" s="187" t="s">
        <v>149</v>
      </c>
      <c r="E70" s="137">
        <f>E69/(E$12-E$14)</f>
        <v>1094.7892720306513</v>
      </c>
      <c r="F70" s="132" t="s">
        <v>200</v>
      </c>
      <c r="H70" s="62"/>
      <c r="I70" s="63">
        <v>0.78</v>
      </c>
      <c r="J70" s="62" t="s">
        <v>57</v>
      </c>
      <c r="K70" s="62"/>
    </row>
    <row r="71" spans="1:11" ht="14.25" customHeight="1">
      <c r="A71" s="72" t="s">
        <v>168</v>
      </c>
      <c r="B71" s="313" t="s">
        <v>135</v>
      </c>
      <c r="C71" s="314"/>
      <c r="D71" s="187" t="s">
        <v>64</v>
      </c>
      <c r="E71" s="66">
        <v>0.78</v>
      </c>
      <c r="F71" s="74" t="s">
        <v>201</v>
      </c>
      <c r="H71" s="62"/>
    </row>
    <row r="72" spans="1:11" ht="14.25" customHeight="1">
      <c r="A72" s="72" t="s">
        <v>169</v>
      </c>
      <c r="B72" s="286" t="s">
        <v>147</v>
      </c>
      <c r="C72" s="287"/>
      <c r="D72" s="187" t="s">
        <v>68</v>
      </c>
      <c r="E72" s="136">
        <f>E69/E71</f>
        <v>1264.7607820021612</v>
      </c>
      <c r="F72" s="74" t="s">
        <v>69</v>
      </c>
      <c r="H72" s="62" t="s">
        <v>65</v>
      </c>
      <c r="I72" s="62">
        <v>3.5000000000000001E-3</v>
      </c>
      <c r="J72" s="67" t="s">
        <v>66</v>
      </c>
      <c r="K72" s="68" t="s">
        <v>157</v>
      </c>
    </row>
    <row r="73" spans="1:11" ht="14.25" customHeight="1">
      <c r="A73" s="72" t="s">
        <v>170</v>
      </c>
      <c r="B73" s="199"/>
      <c r="C73" s="121" t="s">
        <v>51</v>
      </c>
      <c r="D73" s="187" t="s">
        <v>71</v>
      </c>
      <c r="E73" s="240">
        <v>0</v>
      </c>
      <c r="F73" s="241" t="s">
        <v>202</v>
      </c>
      <c r="H73" s="62"/>
      <c r="I73" s="62">
        <v>6.4999999999999997E-3</v>
      </c>
      <c r="J73" s="67" t="s">
        <v>66</v>
      </c>
      <c r="K73" s="68" t="s">
        <v>174</v>
      </c>
    </row>
    <row r="74" spans="1:11" ht="14.25" customHeight="1">
      <c r="A74" s="280"/>
      <c r="B74" s="281"/>
      <c r="C74" s="282"/>
      <c r="D74" s="187" t="s">
        <v>73</v>
      </c>
      <c r="E74" s="175">
        <f>IF(B73=0,0,IF(B73&lt;=100,0.005,IF(B73&lt;=200,0.01,IF(B73&lt;=300,0.015,IF(B73&lt;=400,0.02,"!!!")))))</f>
        <v>0</v>
      </c>
      <c r="F74" s="143" t="s">
        <v>134</v>
      </c>
      <c r="H74" s="62"/>
      <c r="I74" s="62">
        <v>0.01</v>
      </c>
      <c r="J74" s="67" t="s">
        <v>66</v>
      </c>
      <c r="K74" s="68" t="s">
        <v>67</v>
      </c>
    </row>
    <row r="75" spans="1:11" ht="14.25" customHeight="1">
      <c r="A75" s="280"/>
      <c r="B75" s="281"/>
      <c r="C75" s="282"/>
      <c r="D75" s="188" t="s">
        <v>75</v>
      </c>
      <c r="E75" s="138">
        <f>E73+E74</f>
        <v>0</v>
      </c>
      <c r="F75" s="144" t="s">
        <v>76</v>
      </c>
      <c r="H75" s="62"/>
      <c r="I75" s="62">
        <v>0.01</v>
      </c>
      <c r="J75" s="67" t="s">
        <v>66</v>
      </c>
      <c r="K75" s="68" t="s">
        <v>70</v>
      </c>
    </row>
    <row r="76" spans="1:11" ht="23.25" customHeight="1">
      <c r="A76" s="283"/>
      <c r="B76" s="284"/>
      <c r="C76" s="285"/>
      <c r="D76" s="189" t="s">
        <v>78</v>
      </c>
      <c r="E76" s="139">
        <f>IF(E84=0,E75*E72,0)</f>
        <v>0</v>
      </c>
      <c r="F76" s="145" t="s">
        <v>35</v>
      </c>
      <c r="I76" s="62">
        <v>5.0000000000000001E-3</v>
      </c>
      <c r="J76" s="67" t="s">
        <v>66</v>
      </c>
      <c r="K76" s="62" t="s">
        <v>72</v>
      </c>
    </row>
    <row r="77" spans="1:11" ht="14.25" customHeight="1">
      <c r="A77" s="309" t="s">
        <v>132</v>
      </c>
      <c r="B77" s="310"/>
      <c r="C77" s="311"/>
      <c r="D77" s="187" t="s">
        <v>62</v>
      </c>
      <c r="E77" s="65">
        <v>1243</v>
      </c>
      <c r="F77" s="74" t="s">
        <v>63</v>
      </c>
      <c r="I77" s="62">
        <v>5.0000000000000001E-3</v>
      </c>
      <c r="J77" s="67" t="s">
        <v>66</v>
      </c>
      <c r="K77" s="62" t="s">
        <v>74</v>
      </c>
    </row>
    <row r="78" spans="1:11" ht="14.25" customHeight="1">
      <c r="A78" s="280"/>
      <c r="B78" s="281"/>
      <c r="C78" s="282"/>
      <c r="D78" s="187" t="s">
        <v>149</v>
      </c>
      <c r="E78" s="137">
        <f>E77/(E$12-E$14)</f>
        <v>1379.4268292682927</v>
      </c>
      <c r="F78" s="132" t="s">
        <v>148</v>
      </c>
      <c r="I78" s="110">
        <v>0.01</v>
      </c>
      <c r="J78" s="111" t="s">
        <v>66</v>
      </c>
      <c r="K78" s="112" t="s">
        <v>77</v>
      </c>
    </row>
    <row r="79" spans="1:11" ht="14.25" customHeight="1">
      <c r="A79" s="280"/>
      <c r="B79" s="281"/>
      <c r="C79" s="282"/>
      <c r="D79" s="187" t="s">
        <v>64</v>
      </c>
      <c r="E79" s="176">
        <v>0.6</v>
      </c>
      <c r="F79" s="74" t="s">
        <v>136</v>
      </c>
    </row>
    <row r="80" spans="1:11" ht="14.25" customHeight="1">
      <c r="A80" s="280"/>
      <c r="B80" s="281"/>
      <c r="C80" s="282"/>
      <c r="D80" s="187" t="s">
        <v>68</v>
      </c>
      <c r="E80" s="136">
        <f>E77/E79</f>
        <v>2071.666666666667</v>
      </c>
      <c r="F80" s="74" t="s">
        <v>69</v>
      </c>
      <c r="H80" s="62" t="s">
        <v>50</v>
      </c>
      <c r="I80" s="63">
        <v>0.57999999999999996</v>
      </c>
    </row>
    <row r="81" spans="1:11" ht="14.25" customHeight="1">
      <c r="A81" s="72" t="s">
        <v>168</v>
      </c>
      <c r="B81" s="190" t="s">
        <v>135</v>
      </c>
      <c r="C81" s="192"/>
      <c r="D81" s="187" t="s">
        <v>71</v>
      </c>
      <c r="E81" s="239">
        <v>0</v>
      </c>
      <c r="F81" s="157" t="s">
        <v>202</v>
      </c>
      <c r="H81" s="62" t="s">
        <v>60</v>
      </c>
      <c r="I81" s="62" t="s">
        <v>61</v>
      </c>
    </row>
    <row r="82" spans="1:11" ht="14.25" customHeight="1">
      <c r="A82" s="72" t="s">
        <v>169</v>
      </c>
      <c r="B82" s="193" t="s">
        <v>147</v>
      </c>
      <c r="C82" s="194"/>
      <c r="D82" s="187" t="s">
        <v>73</v>
      </c>
      <c r="E82" s="175">
        <f>IF(B83=0,0,IF(B83&lt;=100,0.005,IF(B83&lt;=200,0.01,IF(B83&lt;=300,0.015,IF(B83&lt;=400,0.02,"!!!")))))</f>
        <v>0</v>
      </c>
      <c r="F82" s="74" t="s">
        <v>134</v>
      </c>
    </row>
    <row r="83" spans="1:11" ht="14.25" customHeight="1">
      <c r="A83" s="72" t="s">
        <v>170</v>
      </c>
      <c r="B83" s="199"/>
      <c r="C83" s="121" t="s">
        <v>51</v>
      </c>
      <c r="D83" s="188" t="s">
        <v>75</v>
      </c>
      <c r="E83" s="138">
        <f>E81+E82</f>
        <v>0</v>
      </c>
      <c r="F83" s="128" t="s">
        <v>76</v>
      </c>
    </row>
    <row r="84" spans="1:11" ht="23.25" customHeight="1">
      <c r="A84" s="197"/>
      <c r="B84" s="200"/>
      <c r="C84" s="201"/>
      <c r="D84" s="189" t="s">
        <v>78</v>
      </c>
      <c r="E84" s="139">
        <f>E83*E80</f>
        <v>0</v>
      </c>
      <c r="F84" s="130" t="s">
        <v>35</v>
      </c>
      <c r="I84" s="60"/>
    </row>
    <row r="85" spans="1:11" ht="27.75" customHeight="1">
      <c r="A85" s="196" t="s">
        <v>79</v>
      </c>
      <c r="C85" s="195"/>
      <c r="D85" s="34"/>
      <c r="E85" s="35"/>
      <c r="F85" s="36"/>
    </row>
    <row r="86" spans="1:11" ht="15" customHeight="1">
      <c r="A86" s="279" t="s">
        <v>5</v>
      </c>
      <c r="B86" s="279"/>
      <c r="C86" s="279"/>
      <c r="D86" s="37" t="s">
        <v>6</v>
      </c>
      <c r="E86" s="123">
        <v>0</v>
      </c>
      <c r="F86" s="38" t="s">
        <v>7</v>
      </c>
    </row>
    <row r="87" spans="1:11" ht="15" customHeight="1">
      <c r="A87" s="279"/>
      <c r="B87" s="279"/>
      <c r="C87" s="279"/>
      <c r="D87" s="39" t="s">
        <v>8</v>
      </c>
      <c r="E87" s="4">
        <f>E20</f>
        <v>35.86</v>
      </c>
      <c r="F87" s="41" t="s">
        <v>9</v>
      </c>
    </row>
    <row r="88" spans="1:11" ht="15" customHeight="1">
      <c r="A88" s="279"/>
      <c r="B88" s="279"/>
      <c r="C88" s="279"/>
      <c r="D88" s="39" t="s">
        <v>10</v>
      </c>
      <c r="E88" s="73">
        <f>IF(E89&gt;37.5,50,IF(E89&gt;32.5,47,IF(E89&gt;27.5,44,IF(E89&gt;22.5,41,IF(E89&gt;17.5,38,IF(E89&gt;12.5,35,30))))))</f>
        <v>30</v>
      </c>
      <c r="F88" s="41" t="s">
        <v>140</v>
      </c>
    </row>
    <row r="89" spans="1:11" ht="15" customHeight="1">
      <c r="A89" s="279"/>
      <c r="B89" s="279"/>
      <c r="C89" s="279"/>
      <c r="D89" s="72" t="s">
        <v>11</v>
      </c>
      <c r="E89" s="42">
        <v>0</v>
      </c>
      <c r="F89" s="74" t="s">
        <v>80</v>
      </c>
    </row>
    <row r="90" spans="1:11" ht="15" customHeight="1">
      <c r="A90" s="279"/>
      <c r="B90" s="279"/>
      <c r="C90" s="279"/>
      <c r="D90" s="72" t="s">
        <v>13</v>
      </c>
      <c r="E90" s="73">
        <v>0.5</v>
      </c>
      <c r="F90" s="74" t="s">
        <v>14</v>
      </c>
    </row>
    <row r="91" spans="1:11" ht="15" customHeight="1">
      <c r="A91" s="279"/>
      <c r="B91" s="279"/>
      <c r="C91" s="279"/>
      <c r="D91" s="72" t="s">
        <v>81</v>
      </c>
      <c r="E91" s="140">
        <f>IF(E89=0,0,E88*E87*E86/3.6/100/E89/E90)</f>
        <v>0</v>
      </c>
      <c r="F91" s="74" t="s">
        <v>44</v>
      </c>
    </row>
    <row r="92" spans="1:11" ht="15" customHeight="1">
      <c r="A92" s="279"/>
      <c r="B92" s="279"/>
      <c r="C92" s="279"/>
      <c r="D92" s="126" t="s">
        <v>17</v>
      </c>
      <c r="E92" s="127">
        <v>0.30599999999999999</v>
      </c>
      <c r="F92" s="128" t="s">
        <v>18</v>
      </c>
    </row>
    <row r="93" spans="1:11" ht="20.25">
      <c r="A93" s="279"/>
      <c r="B93" s="279"/>
      <c r="C93" s="279"/>
      <c r="D93" s="129" t="s">
        <v>82</v>
      </c>
      <c r="E93" s="139">
        <f>E91*E92</f>
        <v>0</v>
      </c>
      <c r="F93" s="130" t="s">
        <v>35</v>
      </c>
    </row>
    <row r="94" spans="1:11" ht="15" customHeight="1">
      <c r="A94" s="279" t="s">
        <v>21</v>
      </c>
      <c r="B94" s="279"/>
      <c r="C94" s="279"/>
      <c r="D94" s="70" t="s">
        <v>6</v>
      </c>
      <c r="E94" s="123">
        <v>0</v>
      </c>
      <c r="F94" s="71" t="s">
        <v>7</v>
      </c>
    </row>
    <row r="95" spans="1:11" ht="15" customHeight="1">
      <c r="A95" s="279"/>
      <c r="B95" s="279"/>
      <c r="C95" s="279"/>
      <c r="D95" s="72" t="s">
        <v>8</v>
      </c>
      <c r="E95" s="40">
        <f>E20</f>
        <v>35.86</v>
      </c>
      <c r="F95" s="74" t="s">
        <v>9</v>
      </c>
    </row>
    <row r="96" spans="1:11" ht="15" customHeight="1">
      <c r="A96" s="279"/>
      <c r="B96" s="279"/>
      <c r="C96" s="279"/>
      <c r="D96" s="72" t="s">
        <v>22</v>
      </c>
      <c r="E96" s="42">
        <v>1.6E-2</v>
      </c>
      <c r="F96" s="74" t="s">
        <v>182</v>
      </c>
      <c r="H96" s="116" t="s">
        <v>198</v>
      </c>
      <c r="I96" s="237">
        <v>1.6E-2</v>
      </c>
      <c r="J96" s="120" t="s">
        <v>138</v>
      </c>
      <c r="K96" s="118"/>
    </row>
    <row r="97" spans="1:11" ht="15" customHeight="1">
      <c r="A97" s="279"/>
      <c r="B97" s="279"/>
      <c r="C97" s="279"/>
      <c r="D97" s="72" t="s">
        <v>13</v>
      </c>
      <c r="E97" s="73">
        <v>1</v>
      </c>
      <c r="F97" s="74" t="s">
        <v>14</v>
      </c>
      <c r="H97" s="116" t="s">
        <v>197</v>
      </c>
      <c r="I97" s="236">
        <v>5.7299999999999999E-3</v>
      </c>
      <c r="J97" s="120" t="s">
        <v>138</v>
      </c>
      <c r="K97" s="118"/>
    </row>
    <row r="98" spans="1:11" ht="15" customHeight="1">
      <c r="A98" s="279"/>
      <c r="B98" s="279"/>
      <c r="C98" s="279"/>
      <c r="D98" s="39" t="s">
        <v>83</v>
      </c>
      <c r="E98" s="113">
        <f>E94*E96*E95/E97/3.6</f>
        <v>0</v>
      </c>
      <c r="F98" s="74" t="s">
        <v>44</v>
      </c>
      <c r="H98" s="116" t="s">
        <v>196</v>
      </c>
      <c r="I98" s="236">
        <v>5.6800000000000002E-3</v>
      </c>
      <c r="J98" s="120" t="s">
        <v>138</v>
      </c>
      <c r="K98" s="117"/>
    </row>
    <row r="99" spans="1:11" ht="15" customHeight="1">
      <c r="A99" s="279"/>
      <c r="B99" s="279"/>
      <c r="C99" s="279"/>
      <c r="D99" s="43" t="s">
        <v>17</v>
      </c>
      <c r="E99" s="44">
        <v>0.30599999999999999</v>
      </c>
      <c r="F99" s="45" t="s">
        <v>18</v>
      </c>
      <c r="H99" s="119"/>
      <c r="I99" s="117"/>
      <c r="J99" s="120"/>
      <c r="K99" s="116"/>
    </row>
    <row r="100" spans="1:11" ht="20.25">
      <c r="A100" s="279"/>
      <c r="B100" s="279"/>
      <c r="C100" s="279"/>
      <c r="D100" s="46" t="s">
        <v>84</v>
      </c>
      <c r="E100" s="18">
        <f>E98*E99</f>
        <v>0</v>
      </c>
      <c r="F100" s="130" t="s">
        <v>35</v>
      </c>
      <c r="H100" s="119"/>
      <c r="I100" s="120"/>
      <c r="J100" s="120"/>
    </row>
    <row r="101" spans="1:11" ht="15" customHeight="1">
      <c r="A101" s="279" t="s">
        <v>85</v>
      </c>
      <c r="B101" s="279"/>
      <c r="C101" s="279"/>
      <c r="D101" s="70" t="s">
        <v>6</v>
      </c>
      <c r="E101" s="123">
        <v>0</v>
      </c>
      <c r="F101" s="71" t="s">
        <v>7</v>
      </c>
    </row>
    <row r="102" spans="1:11" ht="15" customHeight="1">
      <c r="A102" s="279"/>
      <c r="B102" s="279"/>
      <c r="C102" s="279"/>
      <c r="D102" s="72" t="s">
        <v>86</v>
      </c>
      <c r="E102" s="73">
        <v>0.03</v>
      </c>
      <c r="F102" s="74" t="s">
        <v>87</v>
      </c>
      <c r="H102" s="116" t="s">
        <v>137</v>
      </c>
    </row>
    <row r="103" spans="1:11" ht="15" customHeight="1">
      <c r="A103" s="279"/>
      <c r="B103" s="279"/>
      <c r="C103" s="279"/>
      <c r="D103" s="72" t="s">
        <v>13</v>
      </c>
      <c r="E103" s="73">
        <v>0.9</v>
      </c>
      <c r="F103" s="74" t="s">
        <v>14</v>
      </c>
      <c r="H103" s="115" t="s">
        <v>139</v>
      </c>
    </row>
    <row r="104" spans="1:11" ht="15" customHeight="1">
      <c r="A104" s="279"/>
      <c r="B104" s="279"/>
      <c r="C104" s="279"/>
      <c r="D104" s="72" t="s">
        <v>88</v>
      </c>
      <c r="E104" s="140">
        <f>E101*E102/E103</f>
        <v>0</v>
      </c>
      <c r="F104" s="74" t="s">
        <v>39</v>
      </c>
    </row>
    <row r="105" spans="1:11" ht="15.75" customHeight="1">
      <c r="A105" s="279"/>
      <c r="B105" s="279"/>
      <c r="C105" s="279"/>
      <c r="D105" s="126" t="s">
        <v>17</v>
      </c>
      <c r="E105" s="127">
        <v>0.45600000000000002</v>
      </c>
      <c r="F105" s="128" t="s">
        <v>40</v>
      </c>
    </row>
    <row r="106" spans="1:11" ht="23.25" customHeight="1">
      <c r="A106" s="279"/>
      <c r="B106" s="279"/>
      <c r="C106" s="279"/>
      <c r="D106" s="129" t="s">
        <v>89</v>
      </c>
      <c r="E106" s="139">
        <f>E104*E105</f>
        <v>0</v>
      </c>
      <c r="F106" s="130" t="s">
        <v>35</v>
      </c>
    </row>
    <row r="107" spans="1:11" ht="14.25" customHeight="1">
      <c r="A107" s="279" t="s">
        <v>26</v>
      </c>
      <c r="B107" s="279"/>
      <c r="C107" s="279"/>
      <c r="D107" s="70" t="s">
        <v>6</v>
      </c>
      <c r="E107" s="123">
        <v>0</v>
      </c>
      <c r="F107" s="71" t="s">
        <v>7</v>
      </c>
    </row>
    <row r="108" spans="1:11" ht="14.25" customHeight="1">
      <c r="A108" s="279"/>
      <c r="B108" s="279"/>
      <c r="C108" s="279"/>
      <c r="D108" s="72" t="s">
        <v>8</v>
      </c>
      <c r="E108" s="40">
        <v>35.86</v>
      </c>
      <c r="F108" s="74" t="s">
        <v>9</v>
      </c>
    </row>
    <row r="109" spans="1:11" ht="14.25" customHeight="1">
      <c r="A109" s="279"/>
      <c r="B109" s="279"/>
      <c r="C109" s="279"/>
      <c r="D109" s="72" t="s">
        <v>22</v>
      </c>
      <c r="E109" s="73">
        <v>4.8500000000000001E-3</v>
      </c>
      <c r="F109" s="74" t="s">
        <v>182</v>
      </c>
    </row>
    <row r="110" spans="1:11" ht="14.25" customHeight="1">
      <c r="A110" s="279"/>
      <c r="B110" s="279"/>
      <c r="C110" s="279"/>
      <c r="D110" s="72" t="s">
        <v>13</v>
      </c>
      <c r="E110" s="73">
        <v>0.7</v>
      </c>
      <c r="F110" s="74" t="s">
        <v>14</v>
      </c>
    </row>
    <row r="111" spans="1:11" ht="15" customHeight="1">
      <c r="A111" s="279"/>
      <c r="B111" s="279"/>
      <c r="C111" s="279"/>
      <c r="D111" s="72" t="s">
        <v>90</v>
      </c>
      <c r="E111" s="113">
        <f>E107*E109*E108/E110/3.6</f>
        <v>0</v>
      </c>
      <c r="F111" s="74" t="s">
        <v>44</v>
      </c>
    </row>
    <row r="112" spans="1:11" ht="15" customHeight="1">
      <c r="A112" s="279"/>
      <c r="B112" s="279"/>
      <c r="C112" s="279"/>
      <c r="D112" s="43" t="s">
        <v>17</v>
      </c>
      <c r="E112" s="48">
        <v>0.31</v>
      </c>
      <c r="F112" s="45" t="s">
        <v>99</v>
      </c>
    </row>
    <row r="113" spans="1:13" ht="24.75" customHeight="1">
      <c r="A113" s="279"/>
      <c r="B113" s="279"/>
      <c r="C113" s="279"/>
      <c r="D113" s="46" t="s">
        <v>91</v>
      </c>
      <c r="E113" s="18">
        <f>E111*E112</f>
        <v>0</v>
      </c>
      <c r="F113" s="130" t="s">
        <v>35</v>
      </c>
    </row>
    <row r="114" spans="1:13" ht="27.75" customHeight="1">
      <c r="A114" s="196" t="s">
        <v>92</v>
      </c>
      <c r="C114" s="195"/>
      <c r="D114" s="75"/>
      <c r="E114" s="75"/>
      <c r="F114" s="75"/>
    </row>
    <row r="115" spans="1:13" ht="14.25" customHeight="1">
      <c r="A115" s="279" t="s">
        <v>93</v>
      </c>
      <c r="B115" s="279"/>
      <c r="C115" s="279"/>
      <c r="D115" s="37" t="s">
        <v>94</v>
      </c>
      <c r="E115" s="123">
        <v>0</v>
      </c>
      <c r="F115" s="38" t="s">
        <v>95</v>
      </c>
      <c r="H115" s="238" t="s">
        <v>208</v>
      </c>
      <c r="I115" s="26">
        <v>14</v>
      </c>
      <c r="J115" s="26" t="s">
        <v>209</v>
      </c>
    </row>
    <row r="116" spans="1:13" ht="14.25" customHeight="1">
      <c r="A116" s="279"/>
      <c r="B116" s="279"/>
      <c r="C116" s="279"/>
      <c r="D116" s="39" t="s">
        <v>8</v>
      </c>
      <c r="E116" s="42" t="s">
        <v>237</v>
      </c>
      <c r="F116" s="41" t="s">
        <v>96</v>
      </c>
      <c r="H116" s="254" t="s">
        <v>238</v>
      </c>
      <c r="I116" s="26">
        <v>40500</v>
      </c>
      <c r="J116" s="26" t="s">
        <v>236</v>
      </c>
    </row>
    <row r="117" spans="1:13" ht="14.25" customHeight="1">
      <c r="A117" s="279"/>
      <c r="B117" s="279"/>
      <c r="C117" s="279"/>
      <c r="D117" s="72" t="s">
        <v>62</v>
      </c>
      <c r="E117" s="256">
        <f>E115/14/24</f>
        <v>0</v>
      </c>
      <c r="F117" s="74" t="s">
        <v>203</v>
      </c>
      <c r="H117" s="254" t="s">
        <v>235</v>
      </c>
      <c r="I117" s="26">
        <v>43100</v>
      </c>
      <c r="J117" s="26" t="s">
        <v>236</v>
      </c>
    </row>
    <row r="118" spans="1:13" ht="14.25" customHeight="1">
      <c r="A118" s="279"/>
      <c r="B118" s="279"/>
      <c r="C118" s="279"/>
      <c r="D118" s="72" t="s">
        <v>10</v>
      </c>
      <c r="E118" s="42">
        <v>0</v>
      </c>
      <c r="F118" s="74" t="s">
        <v>97</v>
      </c>
    </row>
    <row r="119" spans="1:13" ht="14.25" customHeight="1">
      <c r="A119" s="279"/>
      <c r="B119" s="279"/>
      <c r="C119" s="279"/>
      <c r="D119" s="72" t="s">
        <v>11</v>
      </c>
      <c r="E119" s="42">
        <v>0</v>
      </c>
      <c r="F119" s="74" t="s">
        <v>207</v>
      </c>
      <c r="H119" s="26">
        <v>45002</v>
      </c>
      <c r="I119" s="26" t="s">
        <v>205</v>
      </c>
      <c r="K119" s="255" t="s">
        <v>211</v>
      </c>
      <c r="L119" s="26">
        <v>30</v>
      </c>
      <c r="M119" s="26" t="s">
        <v>239</v>
      </c>
    </row>
    <row r="120" spans="1:13" ht="14.25" customHeight="1">
      <c r="A120" s="279"/>
      <c r="B120" s="279"/>
      <c r="C120" s="279"/>
      <c r="D120" s="72" t="s">
        <v>13</v>
      </c>
      <c r="E120" s="73">
        <v>0.7</v>
      </c>
      <c r="F120" s="74" t="s">
        <v>14</v>
      </c>
      <c r="H120" s="26">
        <v>24922</v>
      </c>
      <c r="I120" s="26" t="s">
        <v>206</v>
      </c>
      <c r="K120" s="255" t="s">
        <v>210</v>
      </c>
      <c r="L120" s="26">
        <v>22</v>
      </c>
      <c r="M120" s="26" t="s">
        <v>239</v>
      </c>
    </row>
    <row r="121" spans="1:13" ht="15" customHeight="1">
      <c r="A121" s="279"/>
      <c r="B121" s="279"/>
      <c r="C121" s="279"/>
      <c r="D121" s="72" t="s">
        <v>98</v>
      </c>
      <c r="E121" s="140">
        <f>IF(E119=0,0,E118*E117*E116/3.6/E119/E120)</f>
        <v>0</v>
      </c>
      <c r="F121" s="74" t="s">
        <v>44</v>
      </c>
    </row>
    <row r="122" spans="1:13" ht="15" customHeight="1">
      <c r="A122" s="279"/>
      <c r="B122" s="279"/>
      <c r="C122" s="279"/>
      <c r="D122" s="126" t="s">
        <v>17</v>
      </c>
      <c r="E122" s="131">
        <v>0.31</v>
      </c>
      <c r="F122" s="128" t="s">
        <v>99</v>
      </c>
    </row>
    <row r="123" spans="1:13" ht="20.25">
      <c r="A123" s="279"/>
      <c r="B123" s="279"/>
      <c r="C123" s="279"/>
      <c r="D123" s="46" t="s">
        <v>100</v>
      </c>
      <c r="E123" s="18">
        <f>E121*E122</f>
        <v>0</v>
      </c>
      <c r="F123" s="130" t="s">
        <v>35</v>
      </c>
    </row>
    <row r="124" spans="1:13" ht="27.75" customHeight="1">
      <c r="A124" s="196" t="s">
        <v>101</v>
      </c>
      <c r="C124" s="195"/>
      <c r="D124" s="76"/>
      <c r="E124" s="76"/>
      <c r="F124" s="76"/>
    </row>
    <row r="125" spans="1:13" ht="19.5" customHeight="1">
      <c r="A125" s="308" t="s">
        <v>102</v>
      </c>
      <c r="B125" s="308"/>
      <c r="C125" s="308"/>
      <c r="D125" s="51" t="s">
        <v>103</v>
      </c>
      <c r="E125" s="13">
        <f>SUBTOTAL(109,E123,E113,E106,E100,E93,E76,E60,E54,E48,E44,E84,E66)</f>
        <v>0</v>
      </c>
      <c r="F125" s="52" t="s">
        <v>35</v>
      </c>
      <c r="H125" s="146">
        <f>SUM(E123,E113,E106,E100,E93,E76,E60,E54,E48,E44,E84,E66)</f>
        <v>0</v>
      </c>
    </row>
    <row r="126" spans="1:13" ht="19.5" customHeight="1">
      <c r="A126" s="279" t="s">
        <v>104</v>
      </c>
      <c r="B126" s="279"/>
      <c r="C126" s="279"/>
      <c r="D126" s="53" t="s">
        <v>105</v>
      </c>
      <c r="E126" s="141">
        <v>17000</v>
      </c>
      <c r="F126" s="77" t="s">
        <v>106</v>
      </c>
    </row>
    <row r="127" spans="1:13" ht="20.25" customHeight="1">
      <c r="A127" s="308" t="s">
        <v>107</v>
      </c>
      <c r="B127" s="308"/>
      <c r="C127" s="308"/>
      <c r="D127" s="51" t="s">
        <v>108</v>
      </c>
      <c r="E127" s="13">
        <f>H125/E126*3600</f>
        <v>0</v>
      </c>
      <c r="F127" s="52" t="s">
        <v>109</v>
      </c>
    </row>
    <row r="128" spans="1:13" ht="21.75" customHeight="1">
      <c r="A128" s="308"/>
      <c r="B128" s="308"/>
      <c r="C128" s="308"/>
      <c r="D128" s="78"/>
      <c r="E128" s="142">
        <f>ROUND(E127/5,0)*5</f>
        <v>0</v>
      </c>
      <c r="F128" s="79" t="s">
        <v>109</v>
      </c>
    </row>
    <row r="129" spans="1:6" ht="12.75" customHeight="1">
      <c r="A129" s="308"/>
      <c r="B129" s="308"/>
      <c r="C129" s="308"/>
      <c r="D129" s="208"/>
      <c r="E129" s="209"/>
      <c r="F129" s="210" t="s">
        <v>175</v>
      </c>
    </row>
    <row r="130" spans="1:6" ht="15.75">
      <c r="A130" s="198"/>
      <c r="C130" s="195"/>
      <c r="D130" s="80"/>
    </row>
    <row r="131" spans="1:6" ht="18.75" customHeight="1">
      <c r="A131" s="302" t="s">
        <v>110</v>
      </c>
      <c r="B131" s="303"/>
      <c r="C131" s="304"/>
      <c r="D131" s="312"/>
      <c r="E131" s="312"/>
      <c r="F131" s="81">
        <f ca="1">NOW()</f>
        <v>41548.717869791668</v>
      </c>
    </row>
    <row r="132" spans="1:6" ht="18.75" customHeight="1">
      <c r="A132" s="302" t="s">
        <v>111</v>
      </c>
      <c r="B132" s="303"/>
      <c r="C132" s="304"/>
      <c r="D132" s="299"/>
      <c r="E132" s="300"/>
      <c r="F132" s="300"/>
    </row>
    <row r="133" spans="1:6" ht="39" customHeight="1">
      <c r="A133" s="305" t="s">
        <v>112</v>
      </c>
      <c r="B133" s="306"/>
      <c r="C133" s="307"/>
      <c r="D133" s="315"/>
      <c r="E133" s="316"/>
      <c r="F133" s="316"/>
    </row>
    <row r="134" spans="1:6" ht="54" customHeight="1">
      <c r="A134" s="317" t="s">
        <v>113</v>
      </c>
      <c r="B134" s="318"/>
      <c r="C134" s="319"/>
      <c r="D134" s="315"/>
      <c r="E134" s="316"/>
      <c r="F134" s="316"/>
    </row>
    <row r="149" spans="3:4" ht="14.25" customHeight="1">
      <c r="C149" s="202"/>
      <c r="D149" s="82"/>
    </row>
  </sheetData>
  <mergeCells count="33">
    <mergeCell ref="A133:C133"/>
    <mergeCell ref="A127:C129"/>
    <mergeCell ref="A131:C131"/>
    <mergeCell ref="A67:C70"/>
    <mergeCell ref="D131:E131"/>
    <mergeCell ref="B71:C71"/>
    <mergeCell ref="A77:C80"/>
    <mergeCell ref="A86:C93"/>
    <mergeCell ref="D133:F134"/>
    <mergeCell ref="A134:C134"/>
    <mergeCell ref="A107:C113"/>
    <mergeCell ref="A125:C125"/>
    <mergeCell ref="A115:C123"/>
    <mergeCell ref="D1:D2"/>
    <mergeCell ref="D4:D5"/>
    <mergeCell ref="D132:F132"/>
    <mergeCell ref="A7:F7"/>
    <mergeCell ref="A10:C10"/>
    <mergeCell ref="A11:C11"/>
    <mergeCell ref="A126:C126"/>
    <mergeCell ref="A19:C26"/>
    <mergeCell ref="A27:C33"/>
    <mergeCell ref="A34:C40"/>
    <mergeCell ref="A42:C42"/>
    <mergeCell ref="A132:C132"/>
    <mergeCell ref="A94:C100"/>
    <mergeCell ref="A101:C106"/>
    <mergeCell ref="A43:C43"/>
    <mergeCell ref="A44:C44"/>
    <mergeCell ref="A74:C76"/>
    <mergeCell ref="B72:C72"/>
    <mergeCell ref="A46:C48"/>
    <mergeCell ref="A49:C66"/>
  </mergeCells>
  <phoneticPr fontId="0" type="noConversion"/>
  <conditionalFormatting sqref="E125">
    <cfRule type="cellIs" dxfId="2" priority="3" stopIfTrue="1" operator="notEqual">
      <formula>$H$125</formula>
    </cfRule>
  </conditionalFormatting>
  <conditionalFormatting sqref="E78 E70">
    <cfRule type="cellIs" dxfId="1" priority="1" stopIfTrue="1" operator="equal">
      <formula>0</formula>
    </cfRule>
    <cfRule type="cellIs" dxfId="0" priority="2" stopIfTrue="1" operator="notBetween">
      <formula>900</formula>
      <formula>1500</formula>
    </cfRule>
  </conditionalFormatting>
  <dataValidations count="8">
    <dataValidation type="list" allowBlank="1" showInputMessage="1" showErrorMessage="1" sqref="E71">
      <formula1>$I$68:$I$70</formula1>
    </dataValidation>
    <dataValidation type="list" allowBlank="1" showInputMessage="1" showErrorMessage="1" sqref="E96">
      <formula1>$I$96:$I$98</formula1>
    </dataValidation>
    <dataValidation type="list" allowBlank="1" showInputMessage="1" showErrorMessage="1" sqref="E29">
      <formula1>$I$29:$I$31</formula1>
    </dataValidation>
    <dataValidation type="list" allowBlank="1" showInputMessage="1" showErrorMessage="1" sqref="F50 F56">
      <formula1>$H$56:$H$60</formula1>
    </dataValidation>
    <dataValidation type="list" allowBlank="1" showInputMessage="1" showErrorMessage="1" sqref="F51 F57">
      <formula1>$J$56:$J$60</formula1>
    </dataValidation>
    <dataValidation type="list" allowBlank="1" showInputMessage="1" showErrorMessage="1" promptTitle="select LHV" sqref="E116">
      <formula1>$I$116:$I$117</formula1>
    </dataValidation>
    <dataValidation type="list" allowBlank="1" showInputMessage="1" showErrorMessage="1" promptTitle="select units" sqref="F62">
      <formula1>$H$56:$H$60</formula1>
    </dataValidation>
    <dataValidation type="list" allowBlank="1" showInputMessage="1" showErrorMessage="1" promptTitle="select units" sqref="F63">
      <formula1>$J$56:$J$60</formula1>
    </dataValidation>
  </dataValidations>
  <hyperlinks>
    <hyperlink ref="L52" r:id="rId1"/>
    <hyperlink ref="N54" r:id="rId2"/>
  </hyperlinks>
  <pageMargins left="0.75" right="0.75" top="1" bottom="1" header="0.5" footer="0.5"/>
  <pageSetup paperSize="9" scale="30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VREG</vt:lpstr>
      <vt:lpstr>CWAPE</vt:lpstr>
      <vt:lpstr>LHV_fuel</vt:lpstr>
      <vt:lpstr>CWAPE!Print_Area</vt:lpstr>
      <vt:lpstr>VREG!Print_Area</vt:lpstr>
      <vt:lpstr>train</vt:lpstr>
    </vt:vector>
  </TitlesOfParts>
  <Company>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françois_ducarme</dc:creator>
  <cp:lastModifiedBy>francois_ducarme</cp:lastModifiedBy>
  <cp:lastPrinted>2011-07-12T12:00:18Z</cp:lastPrinted>
  <dcterms:created xsi:type="dcterms:W3CDTF">2011-02-23T13:18:50Z</dcterms:created>
  <dcterms:modified xsi:type="dcterms:W3CDTF">2013-10-01T16:13:57Z</dcterms:modified>
</cp:coreProperties>
</file>